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https://d.docs.live.net/cc49a6f129e4d962/เอกสาร/"/>
    </mc:Choice>
  </mc:AlternateContent>
  <xr:revisionPtr revIDLastSave="1" documentId="13_ncr:1_{A280539F-9330-4218-BCB0-CA8E247E0EEE}" xr6:coauthVersionLast="47" xr6:coauthVersionMax="47" xr10:uidLastSave="{96E0DD0B-7934-425D-A7EF-9CF643232353}"/>
  <bookViews>
    <workbookView xWindow="-110" yWindow="-110" windowWidth="19420" windowHeight="10300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3">เชียงใหม่!$1:$6</definedName>
    <definedName name="_xlnm.Print_Titles" localSheetId="2">เชียงราย!$1:$6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1">กำแพงเพชร!$1:$6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77" i="18" l="1"/>
  <c r="J676" i="18"/>
  <c r="J675" i="18"/>
  <c r="J674" i="18"/>
  <c r="J673" i="18"/>
  <c r="J672" i="18"/>
  <c r="N671" i="18"/>
  <c r="L671" i="18"/>
  <c r="I671" i="18"/>
  <c r="J670" i="18"/>
  <c r="J669" i="18"/>
  <c r="N668" i="18"/>
  <c r="L668" i="18"/>
  <c r="J668" i="18"/>
  <c r="I668" i="18"/>
  <c r="J667" i="18"/>
  <c r="J666" i="18"/>
  <c r="N665" i="18"/>
  <c r="L665" i="18"/>
  <c r="J665" i="18"/>
  <c r="I665" i="18"/>
  <c r="J663" i="18"/>
  <c r="I663" i="18"/>
  <c r="J662" i="18"/>
  <c r="N661" i="18"/>
  <c r="L661" i="18"/>
  <c r="J661" i="18"/>
  <c r="J660" i="18"/>
  <c r="J659" i="18"/>
  <c r="J658" i="18"/>
  <c r="J657" i="18"/>
  <c r="J656" i="18"/>
  <c r="J655" i="18"/>
  <c r="J653" i="18"/>
  <c r="J652" i="18"/>
  <c r="N651" i="18"/>
  <c r="L651" i="18"/>
  <c r="I651" i="18"/>
  <c r="N650" i="18"/>
  <c r="L650" i="18"/>
  <c r="J650" i="18"/>
  <c r="I650" i="18"/>
  <c r="N649" i="18"/>
  <c r="L649" i="18"/>
  <c r="O649" i="18" s="1"/>
  <c r="J649" i="18"/>
  <c r="I649" i="18"/>
  <c r="K649" i="18" s="1"/>
  <c r="N648" i="18"/>
  <c r="L648" i="18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J632" i="18"/>
  <c r="I632" i="18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5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N330" i="18"/>
  <c r="M330" i="18"/>
  <c r="P330" i="18" s="1"/>
  <c r="L330" i="18"/>
  <c r="O330" i="18" s="1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O313" i="18"/>
  <c r="N311" i="18"/>
  <c r="M311" i="18"/>
  <c r="L311" i="18"/>
  <c r="O311" i="18" s="1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N291" i="18"/>
  <c r="M291" i="18"/>
  <c r="P291" i="18" s="1"/>
  <c r="L291" i="18"/>
  <c r="O291" i="18" s="1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L277" i="18"/>
  <c r="L276" i="18"/>
  <c r="N275" i="18"/>
  <c r="M275" i="18"/>
  <c r="O274" i="18"/>
  <c r="N272" i="18"/>
  <c r="M272" i="18"/>
  <c r="P272" i="18" s="1"/>
  <c r="L272" i="18"/>
  <c r="J270" i="18"/>
  <c r="I270" i="18"/>
  <c r="J269" i="18"/>
  <c r="J268" i="18"/>
  <c r="J267" i="18"/>
  <c r="I267" i="18"/>
  <c r="J266" i="18"/>
  <c r="I266" i="18"/>
  <c r="J265" i="18"/>
  <c r="I265" i="18"/>
  <c r="J264" i="18"/>
  <c r="I264" i="18"/>
  <c r="J263" i="18"/>
  <c r="J262" i="18"/>
  <c r="J261" i="18"/>
  <c r="J260" i="18"/>
  <c r="N258" i="18"/>
  <c r="L258" i="18"/>
  <c r="O258" i="18" s="1"/>
  <c r="L256" i="18"/>
  <c r="L255" i="18"/>
  <c r="N254" i="18"/>
  <c r="M254" i="18"/>
  <c r="M252" i="18" s="1"/>
  <c r="O253" i="18"/>
  <c r="N251" i="18"/>
  <c r="M251" i="18"/>
  <c r="L251" i="18"/>
  <c r="J249" i="18"/>
  <c r="I249" i="18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P221" i="18"/>
  <c r="N221" i="18"/>
  <c r="M221" i="18"/>
  <c r="L221" i="18"/>
  <c r="O221" i="18" s="1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K186" i="18" s="1"/>
  <c r="J185" i="18"/>
  <c r="I185" i="18"/>
  <c r="K185" i="18" s="1"/>
  <c r="J184" i="18"/>
  <c r="J183" i="18"/>
  <c r="J182" i="18"/>
  <c r="J181" i="18"/>
  <c r="J176" i="18"/>
  <c r="I176" i="18"/>
  <c r="K176" i="18" s="1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O143" i="18"/>
  <c r="O141" i="18"/>
  <c r="N141" i="18"/>
  <c r="M141" i="18"/>
  <c r="P141" i="18" s="1"/>
  <c r="L141" i="18"/>
  <c r="J138" i="18"/>
  <c r="I138" i="18"/>
  <c r="K138" i="18" s="1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O119" i="18"/>
  <c r="N119" i="18"/>
  <c r="M119" i="18"/>
  <c r="P119" i="18" s="1"/>
  <c r="L119" i="18"/>
  <c r="J117" i="18"/>
  <c r="I117" i="18"/>
  <c r="K117" i="18" s="1"/>
  <c r="J115" i="18"/>
  <c r="J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J106" i="18"/>
  <c r="J105" i="18"/>
  <c r="J104" i="18"/>
  <c r="N102" i="18"/>
  <c r="L102" i="18"/>
  <c r="M102" i="18" s="1"/>
  <c r="L100" i="18"/>
  <c r="L99" i="18"/>
  <c r="N98" i="18"/>
  <c r="M98" i="18"/>
  <c r="O97" i="18"/>
  <c r="P95" i="18"/>
  <c r="O95" i="18"/>
  <c r="N95" i="18"/>
  <c r="M95" i="18"/>
  <c r="L95" i="18"/>
  <c r="J93" i="18"/>
  <c r="I93" i="18"/>
  <c r="J92" i="18"/>
  <c r="I92" i="18"/>
  <c r="J90" i="18"/>
  <c r="J89" i="18"/>
  <c r="J88" i="18"/>
  <c r="I88" i="18"/>
  <c r="J87" i="18"/>
  <c r="I87" i="18"/>
  <c r="J86" i="18"/>
  <c r="I86" i="18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M68" i="18" s="1"/>
  <c r="O69" i="18"/>
  <c r="N67" i="18"/>
  <c r="M67" i="18"/>
  <c r="P67" i="18" s="1"/>
  <c r="L67" i="18"/>
  <c r="O67" i="18" s="1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M53" i="18" s="1"/>
  <c r="N54" i="18"/>
  <c r="M54" i="18"/>
  <c r="P54" i="18" s="1"/>
  <c r="L54" i="18"/>
  <c r="O54" i="18" s="1"/>
  <c r="N49" i="18"/>
  <c r="L49" i="18"/>
  <c r="O49" i="18" s="1"/>
  <c r="L47" i="18"/>
  <c r="L46" i="18"/>
  <c r="N45" i="18"/>
  <c r="M45" i="18"/>
  <c r="M43" i="18" s="1"/>
  <c r="P42" i="18"/>
  <c r="O42" i="18"/>
  <c r="N42" i="18"/>
  <c r="M42" i="18"/>
  <c r="L42" i="18"/>
  <c r="P36" i="18"/>
  <c r="O36" i="18"/>
  <c r="P35" i="18"/>
  <c r="O35" i="18"/>
  <c r="P34" i="18"/>
  <c r="M34" i="18"/>
  <c r="M33" i="18"/>
  <c r="P33" i="18" s="1"/>
  <c r="M32" i="18"/>
  <c r="P32" i="18" s="1"/>
  <c r="M31" i="18"/>
  <c r="M30" i="18"/>
  <c r="P30" i="18" s="1"/>
  <c r="O25" i="18"/>
  <c r="N25" i="18"/>
  <c r="M25" i="18"/>
  <c r="P25" i="18" s="1"/>
  <c r="L25" i="18"/>
  <c r="N24" i="18"/>
  <c r="M24" i="18"/>
  <c r="N23" i="18"/>
  <c r="M23" i="18"/>
  <c r="P21" i="18"/>
  <c r="N21" i="18"/>
  <c r="M21" i="18"/>
  <c r="M19" i="18" s="1"/>
  <c r="L21" i="18"/>
  <c r="O21" i="18" s="1"/>
  <c r="M15" i="18"/>
  <c r="P15" i="18" s="1"/>
  <c r="L15" i="18"/>
  <c r="O15" i="18" s="1"/>
  <c r="J677" i="17"/>
  <c r="J676" i="17"/>
  <c r="J675" i="17"/>
  <c r="J674" i="17"/>
  <c r="J673" i="17"/>
  <c r="J672" i="17"/>
  <c r="N671" i="17"/>
  <c r="L671" i="17"/>
  <c r="O671" i="17" s="1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O651" i="17" s="1"/>
  <c r="I651" i="17"/>
  <c r="K651" i="17" s="1"/>
  <c r="N650" i="17"/>
  <c r="L650" i="17"/>
  <c r="J650" i="17"/>
  <c r="I650" i="17"/>
  <c r="N649" i="17"/>
  <c r="L649" i="17"/>
  <c r="J649" i="17"/>
  <c r="I649" i="17"/>
  <c r="K649" i="17" s="1"/>
  <c r="N648" i="17"/>
  <c r="L648" i="17"/>
  <c r="O648" i="17" s="1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N559" i="17"/>
  <c r="N558" i="17"/>
  <c r="N557" i="17"/>
  <c r="N556" i="17"/>
  <c r="N555" i="17"/>
  <c r="L555" i="17"/>
  <c r="N554" i="17"/>
  <c r="L554" i="17"/>
  <c r="O554" i="17" s="1"/>
  <c r="N553" i="17"/>
  <c r="L553" i="17"/>
  <c r="N552" i="17"/>
  <c r="L552" i="17"/>
  <c r="O552" i="17" s="1"/>
  <c r="N551" i="17"/>
  <c r="L551" i="17"/>
  <c r="J551" i="17"/>
  <c r="I551" i="17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O332" i="17"/>
  <c r="N330" i="17"/>
  <c r="M330" i="17"/>
  <c r="P330" i="17" s="1"/>
  <c r="L330" i="17"/>
  <c r="O330" i="17" s="1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N311" i="17"/>
  <c r="M311" i="17"/>
  <c r="L311" i="17"/>
  <c r="O311" i="17" s="1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P294" i="17" s="1"/>
  <c r="O293" i="17"/>
  <c r="N291" i="17"/>
  <c r="M291" i="17"/>
  <c r="P291" i="17" s="1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P275" i="17" s="1"/>
  <c r="O274" i="17"/>
  <c r="O272" i="17"/>
  <c r="N272" i="17"/>
  <c r="M272" i="17"/>
  <c r="P272" i="17" s="1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L256" i="17"/>
  <c r="L255" i="17"/>
  <c r="N254" i="17"/>
  <c r="M254" i="17"/>
  <c r="O253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N221" i="17"/>
  <c r="M221" i="17"/>
  <c r="P221" i="17" s="1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P141" i="17"/>
  <c r="N141" i="17"/>
  <c r="M141" i="17"/>
  <c r="L141" i="17"/>
  <c r="O141" i="17" s="1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P119" i="17"/>
  <c r="N119" i="17"/>
  <c r="M119" i="17"/>
  <c r="L119" i="17"/>
  <c r="O119" i="17" s="1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L100" i="17"/>
  <c r="L99" i="17"/>
  <c r="N98" i="17"/>
  <c r="M98" i="17"/>
  <c r="O97" i="17"/>
  <c r="N95" i="17"/>
  <c r="M95" i="17"/>
  <c r="P95" i="17" s="1"/>
  <c r="L95" i="17"/>
  <c r="O95" i="17" s="1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K85" i="17" s="1"/>
  <c r="J84" i="17"/>
  <c r="I84" i="17"/>
  <c r="K84" i="17" s="1"/>
  <c r="J83" i="17"/>
  <c r="I83" i="17"/>
  <c r="K83" i="17" s="1"/>
  <c r="J82" i="17"/>
  <c r="I82" i="17"/>
  <c r="K82" i="17" s="1"/>
  <c r="J81" i="17"/>
  <c r="I81" i="17"/>
  <c r="K81" i="17" s="1"/>
  <c r="J80" i="17"/>
  <c r="I80" i="17"/>
  <c r="K80" i="17" s="1"/>
  <c r="J79" i="17"/>
  <c r="J78" i="17"/>
  <c r="J77" i="17"/>
  <c r="J76" i="17"/>
  <c r="N74" i="17"/>
  <c r="L74" i="17"/>
  <c r="O74" i="17" s="1"/>
  <c r="L72" i="17"/>
  <c r="L71" i="17"/>
  <c r="N70" i="17"/>
  <c r="M70" i="17"/>
  <c r="M68" i="17" s="1"/>
  <c r="P68" i="17" s="1"/>
  <c r="O69" i="17"/>
  <c r="O67" i="17"/>
  <c r="N67" i="17"/>
  <c r="M67" i="17"/>
  <c r="P67" i="17" s="1"/>
  <c r="L67" i="17"/>
  <c r="J65" i="17"/>
  <c r="I65" i="17"/>
  <c r="K65" i="17" s="1"/>
  <c r="J64" i="17"/>
  <c r="I64" i="17"/>
  <c r="K64" i="17" s="1"/>
  <c r="N61" i="17"/>
  <c r="L61" i="17"/>
  <c r="L59" i="17"/>
  <c r="L58" i="17"/>
  <c r="N57" i="17"/>
  <c r="M57" i="17"/>
  <c r="O54" i="17"/>
  <c r="N54" i="17"/>
  <c r="M54" i="17"/>
  <c r="P54" i="17" s="1"/>
  <c r="L54" i="17"/>
  <c r="N49" i="17"/>
  <c r="L49" i="17"/>
  <c r="M49" i="17" s="1"/>
  <c r="L47" i="17"/>
  <c r="L46" i="17"/>
  <c r="N45" i="17"/>
  <c r="M45" i="17"/>
  <c r="N42" i="17"/>
  <c r="M42" i="17"/>
  <c r="L42" i="17"/>
  <c r="O42" i="17" s="1"/>
  <c r="P36" i="17"/>
  <c r="O36" i="17"/>
  <c r="P35" i="17"/>
  <c r="O35" i="17"/>
  <c r="M34" i="17"/>
  <c r="P34" i="17" s="1"/>
  <c r="M33" i="17"/>
  <c r="P33" i="17" s="1"/>
  <c r="M32" i="17"/>
  <c r="M31" i="17"/>
  <c r="P31" i="17" s="1"/>
  <c r="M29" i="17"/>
  <c r="P29" i="17" s="1"/>
  <c r="N25" i="17"/>
  <c r="N15" i="17" s="1"/>
  <c r="M25" i="17"/>
  <c r="L25" i="17"/>
  <c r="N24" i="17"/>
  <c r="M24" i="17"/>
  <c r="P24" i="17" s="1"/>
  <c r="N23" i="17"/>
  <c r="M23" i="17"/>
  <c r="P23" i="17" s="1"/>
  <c r="P21" i="17"/>
  <c r="O21" i="17"/>
  <c r="N21" i="17"/>
  <c r="M21" i="17"/>
  <c r="L21" i="17"/>
  <c r="M11" i="17"/>
  <c r="P11" i="17" s="1"/>
  <c r="J677" i="16"/>
  <c r="J676" i="16"/>
  <c r="J675" i="16"/>
  <c r="J674" i="16"/>
  <c r="J673" i="16"/>
  <c r="J672" i="16"/>
  <c r="N671" i="16"/>
  <c r="L671" i="16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J662" i="16"/>
  <c r="N661" i="16"/>
  <c r="L661" i="16"/>
  <c r="J661" i="16"/>
  <c r="J660" i="16"/>
  <c r="J659" i="16"/>
  <c r="J658" i="16"/>
  <c r="J657" i="16"/>
  <c r="J656" i="16"/>
  <c r="J655" i="16"/>
  <c r="J653" i="16"/>
  <c r="J652" i="16"/>
  <c r="N651" i="16"/>
  <c r="L651" i="16"/>
  <c r="I651" i="16"/>
  <c r="N650" i="16"/>
  <c r="L650" i="16"/>
  <c r="O650" i="16" s="1"/>
  <c r="J650" i="16"/>
  <c r="I650" i="16"/>
  <c r="K650" i="16" s="1"/>
  <c r="N649" i="16"/>
  <c r="L649" i="16"/>
  <c r="O649" i="16" s="1"/>
  <c r="J649" i="16"/>
  <c r="I649" i="16"/>
  <c r="K649" i="16" s="1"/>
  <c r="N648" i="16"/>
  <c r="L648" i="16"/>
  <c r="O648" i="16" s="1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K625" i="16" s="1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O337" i="16" s="1"/>
  <c r="L335" i="16"/>
  <c r="L334" i="16"/>
  <c r="N333" i="16"/>
  <c r="M333" i="16"/>
  <c r="O332" i="16"/>
  <c r="N330" i="16"/>
  <c r="M330" i="16"/>
  <c r="P330" i="16" s="1"/>
  <c r="L330" i="16"/>
  <c r="O330" i="16" s="1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L316" i="16"/>
  <c r="L315" i="16"/>
  <c r="N314" i="16"/>
  <c r="M314" i="16"/>
  <c r="P314" i="16" s="1"/>
  <c r="O313" i="16"/>
  <c r="N311" i="16"/>
  <c r="M311" i="16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N291" i="16"/>
  <c r="M291" i="16"/>
  <c r="P291" i="16" s="1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M273" i="16" s="1"/>
  <c r="M271" i="16" s="1"/>
  <c r="O274" i="16"/>
  <c r="O272" i="16"/>
  <c r="N272" i="16"/>
  <c r="M272" i="16"/>
  <c r="P272" i="16" s="1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L256" i="16"/>
  <c r="L255" i="16"/>
  <c r="N254" i="16"/>
  <c r="M254" i="16"/>
  <c r="P254" i="16" s="1"/>
  <c r="O253" i="16"/>
  <c r="N251" i="16"/>
  <c r="M251" i="16"/>
  <c r="L251" i="16"/>
  <c r="O251" i="16" s="1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O223" i="16"/>
  <c r="P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K164" i="16" s="1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O143" i="16"/>
  <c r="P141" i="16"/>
  <c r="O141" i="16"/>
  <c r="N141" i="16"/>
  <c r="M141" i="16"/>
  <c r="L141" i="16"/>
  <c r="J138" i="16"/>
  <c r="I138" i="16"/>
  <c r="K138" i="16" s="1"/>
  <c r="J135" i="16"/>
  <c r="J134" i="16"/>
  <c r="J133" i="16"/>
  <c r="I133" i="16"/>
  <c r="J132" i="16"/>
  <c r="I132" i="16"/>
  <c r="J131" i="16"/>
  <c r="J130" i="16"/>
  <c r="J129" i="16"/>
  <c r="J128" i="16"/>
  <c r="N126" i="16"/>
  <c r="L126" i="16"/>
  <c r="O126" i="16" s="1"/>
  <c r="L124" i="16"/>
  <c r="L123" i="16"/>
  <c r="N122" i="16"/>
  <c r="M122" i="16"/>
  <c r="O121" i="16"/>
  <c r="P119" i="16"/>
  <c r="O119" i="16"/>
  <c r="N119" i="16"/>
  <c r="M119" i="16"/>
  <c r="L119" i="16"/>
  <c r="J117" i="16"/>
  <c r="I117" i="16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M96" i="16" s="1"/>
  <c r="M94" i="16" s="1"/>
  <c r="P94" i="16" s="1"/>
  <c r="O97" i="16"/>
  <c r="N95" i="16"/>
  <c r="M95" i="16"/>
  <c r="P95" i="16" s="1"/>
  <c r="L95" i="16"/>
  <c r="O95" i="16" s="1"/>
  <c r="J93" i="16"/>
  <c r="I93" i="16"/>
  <c r="K93" i="16" s="1"/>
  <c r="J92" i="16"/>
  <c r="I92" i="16"/>
  <c r="K92" i="16" s="1"/>
  <c r="J90" i="16"/>
  <c r="J89" i="16"/>
  <c r="J88" i="16"/>
  <c r="I88" i="16"/>
  <c r="J87" i="16"/>
  <c r="I87" i="16"/>
  <c r="K87" i="16" s="1"/>
  <c r="J86" i="16"/>
  <c r="I86" i="16"/>
  <c r="K86" i="16" s="1"/>
  <c r="J85" i="16"/>
  <c r="I85" i="16"/>
  <c r="J84" i="16"/>
  <c r="I84" i="16"/>
  <c r="J83" i="16"/>
  <c r="I83" i="16"/>
  <c r="K83" i="16" s="1"/>
  <c r="J82" i="16"/>
  <c r="I82" i="16"/>
  <c r="K82" i="16" s="1"/>
  <c r="J81" i="16"/>
  <c r="I81" i="16"/>
  <c r="J80" i="16"/>
  <c r="I80" i="16"/>
  <c r="J79" i="16"/>
  <c r="J78" i="16"/>
  <c r="J77" i="16"/>
  <c r="J76" i="16"/>
  <c r="N74" i="16"/>
  <c r="L74" i="16"/>
  <c r="L72" i="16"/>
  <c r="L71" i="16"/>
  <c r="N70" i="16"/>
  <c r="M70" i="16"/>
  <c r="O69" i="16"/>
  <c r="N67" i="16"/>
  <c r="M67" i="16"/>
  <c r="P67" i="16" s="1"/>
  <c r="L67" i="16"/>
  <c r="O67" i="16" s="1"/>
  <c r="J65" i="16"/>
  <c r="I65" i="16"/>
  <c r="J64" i="16"/>
  <c r="I64" i="16"/>
  <c r="N61" i="16"/>
  <c r="L61" i="16"/>
  <c r="L59" i="16"/>
  <c r="L58" i="16"/>
  <c r="N57" i="16"/>
  <c r="M57" i="16"/>
  <c r="P54" i="16"/>
  <c r="N54" i="16"/>
  <c r="M54" i="16"/>
  <c r="L54" i="16"/>
  <c r="O54" i="16" s="1"/>
  <c r="N49" i="16"/>
  <c r="L49" i="16"/>
  <c r="M49" i="16" s="1"/>
  <c r="L47" i="16"/>
  <c r="L46" i="16"/>
  <c r="N45" i="16"/>
  <c r="M45" i="16"/>
  <c r="N42" i="16"/>
  <c r="M42" i="16"/>
  <c r="L42" i="16"/>
  <c r="O42" i="16" s="1"/>
  <c r="P36" i="16"/>
  <c r="O36" i="16"/>
  <c r="P35" i="16"/>
  <c r="O35" i="16"/>
  <c r="M34" i="16"/>
  <c r="P34" i="16" s="1"/>
  <c r="M33" i="16"/>
  <c r="P33" i="16" s="1"/>
  <c r="M32" i="16"/>
  <c r="M31" i="16"/>
  <c r="P31" i="16" s="1"/>
  <c r="N25" i="16"/>
  <c r="N15" i="16" s="1"/>
  <c r="M25" i="16"/>
  <c r="L25" i="16"/>
  <c r="N24" i="16"/>
  <c r="M24" i="16"/>
  <c r="P24" i="16" s="1"/>
  <c r="N23" i="16"/>
  <c r="M23" i="16"/>
  <c r="P23" i="16" s="1"/>
  <c r="P21" i="16"/>
  <c r="N21" i="16"/>
  <c r="M21" i="16"/>
  <c r="L21" i="16"/>
  <c r="O21" i="16" s="1"/>
  <c r="M14" i="16"/>
  <c r="P14" i="16" s="1"/>
  <c r="J677" i="15"/>
  <c r="J676" i="15"/>
  <c r="J675" i="15"/>
  <c r="J674" i="15"/>
  <c r="J673" i="15"/>
  <c r="J672" i="15"/>
  <c r="N671" i="15"/>
  <c r="L671" i="15"/>
  <c r="I671" i="15"/>
  <c r="J670" i="15"/>
  <c r="J669" i="15"/>
  <c r="N668" i="15"/>
  <c r="L668" i="15"/>
  <c r="J668" i="15"/>
  <c r="I668" i="15"/>
  <c r="J667" i="15"/>
  <c r="J666" i="15"/>
  <c r="N665" i="15"/>
  <c r="L665" i="15"/>
  <c r="J665" i="15"/>
  <c r="I665" i="15"/>
  <c r="J663" i="15"/>
  <c r="I663" i="15"/>
  <c r="J662" i="15"/>
  <c r="N661" i="15"/>
  <c r="L661" i="15"/>
  <c r="J661" i="15"/>
  <c r="J660" i="15"/>
  <c r="J659" i="15"/>
  <c r="J658" i="15"/>
  <c r="J657" i="15"/>
  <c r="J656" i="15"/>
  <c r="J655" i="15"/>
  <c r="J653" i="15"/>
  <c r="J652" i="15"/>
  <c r="N651" i="15"/>
  <c r="L651" i="15"/>
  <c r="I651" i="15"/>
  <c r="N650" i="15"/>
  <c r="L650" i="15"/>
  <c r="J650" i="15"/>
  <c r="I650" i="15"/>
  <c r="N649" i="15"/>
  <c r="L649" i="15"/>
  <c r="J649" i="15"/>
  <c r="I649" i="15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J632" i="15"/>
  <c r="I632" i="15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N383" i="15"/>
  <c r="L383" i="15"/>
  <c r="N382" i="15"/>
  <c r="L382" i="15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L335" i="15"/>
  <c r="L334" i="15"/>
  <c r="N333" i="15"/>
  <c r="M333" i="15"/>
  <c r="O332" i="15"/>
  <c r="O330" i="15"/>
  <c r="N330" i="15"/>
  <c r="M330" i="15"/>
  <c r="P330" i="15" s="1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O311" i="15"/>
  <c r="N311" i="15"/>
  <c r="M311" i="15"/>
  <c r="P311" i="15" s="1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O293" i="15"/>
  <c r="P291" i="15"/>
  <c r="O291" i="15"/>
  <c r="N291" i="15"/>
  <c r="M291" i="15"/>
  <c r="L291" i="15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N272" i="15"/>
  <c r="M272" i="15"/>
  <c r="P272" i="15" s="1"/>
  <c r="L272" i="15"/>
  <c r="O272" i="15" s="1"/>
  <c r="J270" i="15"/>
  <c r="I270" i="15"/>
  <c r="J269" i="15"/>
  <c r="J268" i="15"/>
  <c r="J267" i="15"/>
  <c r="I267" i="15"/>
  <c r="K267" i="15" s="1"/>
  <c r="J266" i="15"/>
  <c r="I266" i="15"/>
  <c r="K266" i="15" s="1"/>
  <c r="J265" i="15"/>
  <c r="I265" i="15"/>
  <c r="K265" i="15" s="1"/>
  <c r="J264" i="15"/>
  <c r="I264" i="15"/>
  <c r="K264" i="15" s="1"/>
  <c r="J263" i="15"/>
  <c r="J262" i="15"/>
  <c r="J261" i="15"/>
  <c r="J260" i="15"/>
  <c r="N258" i="15"/>
  <c r="L258" i="15"/>
  <c r="O258" i="15" s="1"/>
  <c r="L256" i="15"/>
  <c r="L255" i="15"/>
  <c r="N254" i="15"/>
  <c r="M254" i="15"/>
  <c r="P254" i="15" s="1"/>
  <c r="O253" i="15"/>
  <c r="N251" i="15"/>
  <c r="M251" i="15"/>
  <c r="P251" i="15" s="1"/>
  <c r="L251" i="15"/>
  <c r="O251" i="15" s="1"/>
  <c r="J249" i="15"/>
  <c r="I249" i="15"/>
  <c r="K249" i="15" s="1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L226" i="15"/>
  <c r="L225" i="15"/>
  <c r="N224" i="15"/>
  <c r="M224" i="15"/>
  <c r="M222" i="15" s="1"/>
  <c r="O223" i="15"/>
  <c r="O221" i="15"/>
  <c r="N221" i="15"/>
  <c r="M221" i="15"/>
  <c r="P221" i="15" s="1"/>
  <c r="L221" i="15"/>
  <c r="J219" i="15"/>
  <c r="I219" i="15"/>
  <c r="J218" i="15"/>
  <c r="J217" i="15"/>
  <c r="J216" i="15"/>
  <c r="I216" i="15"/>
  <c r="J215" i="15"/>
  <c r="I215" i="15"/>
  <c r="K215" i="15" s="1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M148" i="15" s="1"/>
  <c r="M148" i="1" s="1"/>
  <c r="L146" i="15"/>
  <c r="L145" i="15"/>
  <c r="N144" i="15"/>
  <c r="M144" i="15"/>
  <c r="O143" i="15"/>
  <c r="N141" i="15"/>
  <c r="M141" i="15"/>
  <c r="P141" i="15" s="1"/>
  <c r="L141" i="15"/>
  <c r="O141" i="15" s="1"/>
  <c r="J138" i="15"/>
  <c r="I138" i="15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M120" i="15" s="1"/>
  <c r="O121" i="15"/>
  <c r="O119" i="15"/>
  <c r="N119" i="15"/>
  <c r="M119" i="15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N95" i="15"/>
  <c r="M95" i="15"/>
  <c r="P95" i="15" s="1"/>
  <c r="L95" i="15"/>
  <c r="O95" i="15" s="1"/>
  <c r="J93" i="15"/>
  <c r="I93" i="15"/>
  <c r="K93" i="15" s="1"/>
  <c r="J92" i="15"/>
  <c r="I92" i="15"/>
  <c r="K92" i="15" s="1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J82" i="15"/>
  <c r="I82" i="15"/>
  <c r="J81" i="15"/>
  <c r="I81" i="15"/>
  <c r="J80" i="15"/>
  <c r="I80" i="15"/>
  <c r="J79" i="15"/>
  <c r="J78" i="15"/>
  <c r="J77" i="15"/>
  <c r="J76" i="15"/>
  <c r="N74" i="15"/>
  <c r="L74" i="15"/>
  <c r="L72" i="15"/>
  <c r="L71" i="15"/>
  <c r="N70" i="15"/>
  <c r="M70" i="15"/>
  <c r="M68" i="15" s="1"/>
  <c r="O69" i="15"/>
  <c r="N67" i="15"/>
  <c r="M67" i="15"/>
  <c r="L67" i="15"/>
  <c r="O67" i="15" s="1"/>
  <c r="J65" i="15"/>
  <c r="I65" i="15"/>
  <c r="J64" i="15"/>
  <c r="I64" i="15"/>
  <c r="N61" i="15"/>
  <c r="L61" i="15"/>
  <c r="O61" i="15" s="1"/>
  <c r="L59" i="15"/>
  <c r="L58" i="15"/>
  <c r="N57" i="15"/>
  <c r="M57" i="15"/>
  <c r="M55" i="15" s="1"/>
  <c r="N54" i="15"/>
  <c r="M54" i="15"/>
  <c r="L54" i="15"/>
  <c r="O54" i="15" s="1"/>
  <c r="N49" i="15"/>
  <c r="L49" i="15"/>
  <c r="O49" i="15" s="1"/>
  <c r="L47" i="15"/>
  <c r="L46" i="15"/>
  <c r="N45" i="15"/>
  <c r="M45" i="15"/>
  <c r="M43" i="15" s="1"/>
  <c r="O42" i="15"/>
  <c r="N42" i="15"/>
  <c r="M42" i="15"/>
  <c r="P42" i="15" s="1"/>
  <c r="L42" i="15"/>
  <c r="P36" i="15"/>
  <c r="O36" i="15"/>
  <c r="P35" i="15"/>
  <c r="O35" i="15"/>
  <c r="M34" i="15"/>
  <c r="P34" i="15" s="1"/>
  <c r="M33" i="15"/>
  <c r="P33" i="15" s="1"/>
  <c r="M32" i="15"/>
  <c r="M31" i="15"/>
  <c r="N25" i="15"/>
  <c r="N15" i="15" s="1"/>
  <c r="M25" i="15"/>
  <c r="L25" i="15"/>
  <c r="O25" i="15" s="1"/>
  <c r="N24" i="15"/>
  <c r="M24" i="15"/>
  <c r="P23" i="15"/>
  <c r="N23" i="15"/>
  <c r="M23" i="15"/>
  <c r="P21" i="15"/>
  <c r="O21" i="15"/>
  <c r="N21" i="15"/>
  <c r="N19" i="15" s="1"/>
  <c r="M21" i="15"/>
  <c r="L21" i="15"/>
  <c r="L15" i="15"/>
  <c r="O15" i="15" s="1"/>
  <c r="M13" i="15"/>
  <c r="P13" i="15" s="1"/>
  <c r="M11" i="15"/>
  <c r="J677" i="14"/>
  <c r="J676" i="14"/>
  <c r="J675" i="14"/>
  <c r="J674" i="14"/>
  <c r="J673" i="14"/>
  <c r="J672" i="14"/>
  <c r="N671" i="14"/>
  <c r="L671" i="14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6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N564" i="14"/>
  <c r="L564" i="14"/>
  <c r="J564" i="14"/>
  <c r="I564" i="14"/>
  <c r="J561" i="14"/>
  <c r="I561" i="14"/>
  <c r="K561" i="14" s="1"/>
  <c r="J560" i="14"/>
  <c r="I560" i="14"/>
  <c r="N559" i="14"/>
  <c r="N558" i="14"/>
  <c r="N557" i="14"/>
  <c r="N556" i="14"/>
  <c r="N555" i="14"/>
  <c r="L555" i="14"/>
  <c r="N554" i="14"/>
  <c r="L554" i="14"/>
  <c r="O554" i="14" s="1"/>
  <c r="N553" i="14"/>
  <c r="L553" i="14"/>
  <c r="N552" i="14"/>
  <c r="L552" i="14"/>
  <c r="O552" i="14" s="1"/>
  <c r="N551" i="14"/>
  <c r="L551" i="14"/>
  <c r="J551" i="14"/>
  <c r="I551" i="14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N311" i="14"/>
  <c r="M311" i="14"/>
  <c r="P311" i="14" s="1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M292" i="14" s="1"/>
  <c r="O293" i="14"/>
  <c r="N291" i="14"/>
  <c r="M291" i="14"/>
  <c r="P291" i="14" s="1"/>
  <c r="L291" i="14"/>
  <c r="O291" i="14" s="1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P272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M252" i="14" s="1"/>
  <c r="O253" i="14"/>
  <c r="P251" i="14"/>
  <c r="O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P221" i="14"/>
  <c r="N221" i="14"/>
  <c r="M221" i="14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N141" i="14"/>
  <c r="M141" i="14"/>
  <c r="L141" i="14"/>
  <c r="O141" i="14" s="1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N119" i="14"/>
  <c r="M119" i="14"/>
  <c r="P119" i="14" s="1"/>
  <c r="L119" i="14"/>
  <c r="O119" i="14" s="1"/>
  <c r="J117" i="14"/>
  <c r="I117" i="14"/>
  <c r="K117" i="14" s="1"/>
  <c r="J115" i="14"/>
  <c r="J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J106" i="14"/>
  <c r="J105" i="14"/>
  <c r="J104" i="14"/>
  <c r="N102" i="14"/>
  <c r="L102" i="14"/>
  <c r="M102" i="14" s="1"/>
  <c r="L100" i="14"/>
  <c r="L99" i="14"/>
  <c r="N98" i="14"/>
  <c r="M98" i="14"/>
  <c r="O97" i="14"/>
  <c r="N95" i="14"/>
  <c r="M95" i="14"/>
  <c r="P95" i="14" s="1"/>
  <c r="L95" i="14"/>
  <c r="O95" i="14" s="1"/>
  <c r="J93" i="14"/>
  <c r="I93" i="14"/>
  <c r="J92" i="14"/>
  <c r="I92" i="14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L72" i="14"/>
  <c r="L71" i="14"/>
  <c r="N70" i="14"/>
  <c r="M70" i="14"/>
  <c r="M68" i="14" s="1"/>
  <c r="P68" i="14" s="1"/>
  <c r="O69" i="14"/>
  <c r="N67" i="14"/>
  <c r="M67" i="14"/>
  <c r="P67" i="14" s="1"/>
  <c r="L67" i="14"/>
  <c r="O67" i="14" s="1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O54" i="14"/>
  <c r="N54" i="14"/>
  <c r="M54" i="14"/>
  <c r="P54" i="14" s="1"/>
  <c r="L54" i="14"/>
  <c r="N49" i="14"/>
  <c r="L49" i="14"/>
  <c r="O49" i="14" s="1"/>
  <c r="L47" i="14"/>
  <c r="L46" i="14"/>
  <c r="N45" i="14"/>
  <c r="M45" i="14"/>
  <c r="M43" i="14" s="1"/>
  <c r="N42" i="14"/>
  <c r="M42" i="14"/>
  <c r="P42" i="14" s="1"/>
  <c r="L42" i="14"/>
  <c r="O42" i="14" s="1"/>
  <c r="P36" i="14"/>
  <c r="O36" i="14"/>
  <c r="P35" i="14"/>
  <c r="O35" i="14"/>
  <c r="M34" i="14"/>
  <c r="P34" i="14" s="1"/>
  <c r="M33" i="14"/>
  <c r="P33" i="14" s="1"/>
  <c r="M32" i="14"/>
  <c r="M31" i="14"/>
  <c r="N25" i="14"/>
  <c r="N15" i="14" s="1"/>
  <c r="M25" i="14"/>
  <c r="L25" i="14"/>
  <c r="O25" i="14" s="1"/>
  <c r="N24" i="14"/>
  <c r="M24" i="14"/>
  <c r="N23" i="14"/>
  <c r="M23" i="14"/>
  <c r="N21" i="14"/>
  <c r="M21" i="14"/>
  <c r="P21" i="14" s="1"/>
  <c r="L21" i="14"/>
  <c r="M19" i="14"/>
  <c r="P19" i="14" s="1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M337" i="13" s="1"/>
  <c r="M26" i="13" s="1"/>
  <c r="L335" i="13"/>
  <c r="L334" i="13"/>
  <c r="N333" i="13"/>
  <c r="M333" i="13"/>
  <c r="O332" i="13"/>
  <c r="N330" i="13"/>
  <c r="M330" i="13"/>
  <c r="P330" i="13" s="1"/>
  <c r="L330" i="13"/>
  <c r="O330" i="13" s="1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O313" i="13"/>
  <c r="P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L296" i="13"/>
  <c r="L295" i="13"/>
  <c r="N294" i="13"/>
  <c r="M294" i="13"/>
  <c r="P294" i="13" s="1"/>
  <c r="O293" i="13"/>
  <c r="N291" i="13"/>
  <c r="M291" i="13"/>
  <c r="P291" i="13" s="1"/>
  <c r="L291" i="13"/>
  <c r="O291" i="13" s="1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N251" i="13"/>
  <c r="M251" i="13"/>
  <c r="P251" i="13" s="1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P221" i="13"/>
  <c r="O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N141" i="13"/>
  <c r="M141" i="13"/>
  <c r="P141" i="13" s="1"/>
  <c r="L141" i="13"/>
  <c r="O141" i="13" s="1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M120" i="13" s="1"/>
  <c r="O121" i="13"/>
  <c r="N119" i="13"/>
  <c r="M119" i="13"/>
  <c r="L119" i="13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O97" i="13"/>
  <c r="N95" i="13"/>
  <c r="M95" i="13"/>
  <c r="P95" i="13" s="1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N54" i="13"/>
  <c r="M54" i="13"/>
  <c r="P54" i="13" s="1"/>
  <c r="L54" i="13"/>
  <c r="N49" i="13"/>
  <c r="L49" i="13"/>
  <c r="O49" i="13" s="1"/>
  <c r="L47" i="13"/>
  <c r="L46" i="13"/>
  <c r="N45" i="13"/>
  <c r="M45" i="13"/>
  <c r="M43" i="13" s="1"/>
  <c r="N42" i="13"/>
  <c r="M42" i="13"/>
  <c r="L42" i="13"/>
  <c r="O42" i="13" s="1"/>
  <c r="P36" i="13"/>
  <c r="O36" i="13"/>
  <c r="P35" i="13"/>
  <c r="O35" i="13"/>
  <c r="M34" i="13"/>
  <c r="P34" i="13" s="1"/>
  <c r="M33" i="13"/>
  <c r="M32" i="13"/>
  <c r="M31" i="13"/>
  <c r="N25" i="13"/>
  <c r="N15" i="13" s="1"/>
  <c r="M25" i="13"/>
  <c r="L25" i="13"/>
  <c r="N24" i="13"/>
  <c r="M24" i="13"/>
  <c r="P23" i="13"/>
  <c r="N23" i="13"/>
  <c r="M23" i="13"/>
  <c r="O21" i="13"/>
  <c r="N21" i="13"/>
  <c r="M21" i="13"/>
  <c r="P21" i="13" s="1"/>
  <c r="L21" i="13"/>
  <c r="N19" i="13"/>
  <c r="M19" i="13"/>
  <c r="L19" i="13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J665" i="12"/>
  <c r="I665" i="12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K649" i="12" s="1"/>
  <c r="N648" i="12"/>
  <c r="L648" i="12"/>
  <c r="O648" i="12" s="1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N383" i="12"/>
  <c r="L383" i="12"/>
  <c r="N382" i="12"/>
  <c r="L382" i="12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L335" i="12"/>
  <c r="L334" i="12"/>
  <c r="N333" i="12"/>
  <c r="M333" i="12"/>
  <c r="O332" i="12"/>
  <c r="N330" i="12"/>
  <c r="M330" i="12"/>
  <c r="P330" i="12" s="1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N311" i="12"/>
  <c r="M311" i="12"/>
  <c r="P311" i="12" s="1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N291" i="12"/>
  <c r="M291" i="12"/>
  <c r="P291" i="12" s="1"/>
  <c r="L291" i="12"/>
  <c r="O291" i="12" s="1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N272" i="12"/>
  <c r="M272" i="12"/>
  <c r="P272" i="12" s="1"/>
  <c r="L272" i="12"/>
  <c r="O272" i="12" s="1"/>
  <c r="J270" i="12"/>
  <c r="I270" i="12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P251" i="12"/>
  <c r="O251" i="12"/>
  <c r="N251" i="12"/>
  <c r="M251" i="12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N221" i="12"/>
  <c r="M221" i="12"/>
  <c r="P221" i="12" s="1"/>
  <c r="L221" i="12"/>
  <c r="O221" i="12" s="1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O141" i="12"/>
  <c r="N141" i="12"/>
  <c r="M141" i="12"/>
  <c r="L141" i="12"/>
  <c r="J138" i="12"/>
  <c r="I138" i="12"/>
  <c r="K138" i="12" s="1"/>
  <c r="J135" i="12"/>
  <c r="J134" i="12"/>
  <c r="J133" i="12"/>
  <c r="I133" i="12"/>
  <c r="J132" i="12"/>
  <c r="I132" i="12"/>
  <c r="J131" i="12"/>
  <c r="J130" i="12"/>
  <c r="J129" i="12"/>
  <c r="J128" i="12"/>
  <c r="N126" i="12"/>
  <c r="L126" i="12"/>
  <c r="L124" i="12"/>
  <c r="L123" i="12"/>
  <c r="N122" i="12"/>
  <c r="M122" i="12"/>
  <c r="M120" i="12" s="1"/>
  <c r="O121" i="12"/>
  <c r="N119" i="12"/>
  <c r="M119" i="12"/>
  <c r="L119" i="12"/>
  <c r="O119" i="12" s="1"/>
  <c r="J117" i="12"/>
  <c r="I117" i="12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N95" i="12"/>
  <c r="M95" i="12"/>
  <c r="L95" i="12"/>
  <c r="O95" i="12" s="1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M74" i="12" s="1"/>
  <c r="L72" i="12"/>
  <c r="L71" i="12"/>
  <c r="N70" i="12"/>
  <c r="M70" i="12"/>
  <c r="P70" i="12" s="1"/>
  <c r="O69" i="12"/>
  <c r="N67" i="12"/>
  <c r="M67" i="12"/>
  <c r="P67" i="12" s="1"/>
  <c r="L67" i="12"/>
  <c r="O67" i="12" s="1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O54" i="12"/>
  <c r="N54" i="12"/>
  <c r="M54" i="12"/>
  <c r="P54" i="12" s="1"/>
  <c r="L54" i="12"/>
  <c r="N49" i="12"/>
  <c r="L49" i="12"/>
  <c r="M49" i="12" s="1"/>
  <c r="L47" i="12"/>
  <c r="L46" i="12"/>
  <c r="N45" i="12"/>
  <c r="M45" i="12"/>
  <c r="N42" i="12"/>
  <c r="M42" i="12"/>
  <c r="L42" i="12"/>
  <c r="O42" i="12" s="1"/>
  <c r="P36" i="12"/>
  <c r="O36" i="12"/>
  <c r="P35" i="12"/>
  <c r="O35" i="12"/>
  <c r="M34" i="12"/>
  <c r="P34" i="12" s="1"/>
  <c r="M33" i="12"/>
  <c r="P33" i="12" s="1"/>
  <c r="M32" i="12"/>
  <c r="P32" i="12" s="1"/>
  <c r="M31" i="12"/>
  <c r="P31" i="12" s="1"/>
  <c r="M30" i="12"/>
  <c r="P30" i="12" s="1"/>
  <c r="M29" i="12"/>
  <c r="N25" i="12"/>
  <c r="M25" i="12"/>
  <c r="P25" i="12" s="1"/>
  <c r="L25" i="12"/>
  <c r="N24" i="12"/>
  <c r="M24" i="12"/>
  <c r="P24" i="12" s="1"/>
  <c r="P23" i="12"/>
  <c r="N23" i="12"/>
  <c r="M23" i="12"/>
  <c r="N21" i="12"/>
  <c r="M21" i="12"/>
  <c r="L21" i="12"/>
  <c r="O21" i="12" s="1"/>
  <c r="N15" i="12"/>
  <c r="M15" i="12"/>
  <c r="P15" i="12" s="1"/>
  <c r="M13" i="12"/>
  <c r="P13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J665" i="11"/>
  <c r="I665" i="1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J649" i="11"/>
  <c r="I649" i="11"/>
  <c r="N648" i="11"/>
  <c r="L648" i="11"/>
  <c r="J648" i="11"/>
  <c r="I648" i="1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5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N330" i="11"/>
  <c r="M330" i="11"/>
  <c r="P330" i="11" s="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L316" i="11"/>
  <c r="L315" i="11"/>
  <c r="N314" i="11"/>
  <c r="M314" i="11"/>
  <c r="P314" i="11" s="1"/>
  <c r="O313" i="11"/>
  <c r="N311" i="11"/>
  <c r="M311" i="1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O293" i="11"/>
  <c r="P291" i="11"/>
  <c r="N291" i="11"/>
  <c r="M291" i="1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O274" i="11"/>
  <c r="N272" i="11"/>
  <c r="M272" i="11"/>
  <c r="L272" i="11"/>
  <c r="O272" i="11" s="1"/>
  <c r="J270" i="11"/>
  <c r="I270" i="11"/>
  <c r="J269" i="11"/>
  <c r="J268" i="11"/>
  <c r="J267" i="11"/>
  <c r="I267" i="11"/>
  <c r="J266" i="11"/>
  <c r="I266" i="11"/>
  <c r="J265" i="11"/>
  <c r="I265" i="11"/>
  <c r="J264" i="11"/>
  <c r="I264" i="11"/>
  <c r="J263" i="11"/>
  <c r="J262" i="11"/>
  <c r="J261" i="11"/>
  <c r="J260" i="11"/>
  <c r="N258" i="11"/>
  <c r="L258" i="11"/>
  <c r="L256" i="11"/>
  <c r="L255" i="11"/>
  <c r="N254" i="11"/>
  <c r="M254" i="11"/>
  <c r="O253" i="11"/>
  <c r="N251" i="11"/>
  <c r="M251" i="11"/>
  <c r="L251" i="11"/>
  <c r="O251" i="11" s="1"/>
  <c r="J249" i="11"/>
  <c r="I249" i="1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N221" i="11"/>
  <c r="M221" i="11"/>
  <c r="P221" i="11" s="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N141" i="11"/>
  <c r="M141" i="11"/>
  <c r="P141" i="11" s="1"/>
  <c r="L141" i="11"/>
  <c r="O141" i="11" s="1"/>
  <c r="J138" i="11"/>
  <c r="I138" i="1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O121" i="11"/>
  <c r="N119" i="11"/>
  <c r="M119" i="11"/>
  <c r="P119" i="11" s="1"/>
  <c r="L119" i="11"/>
  <c r="O119" i="11" s="1"/>
  <c r="J117" i="11"/>
  <c r="I117" i="1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O97" i="11"/>
  <c r="N95" i="11"/>
  <c r="M95" i="11"/>
  <c r="P95" i="11" s="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J84" i="11"/>
  <c r="I84" i="11"/>
  <c r="J83" i="11"/>
  <c r="I83" i="11"/>
  <c r="K83" i="11" s="1"/>
  <c r="J82" i="11"/>
  <c r="I82" i="11"/>
  <c r="K82" i="11" s="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O69" i="11"/>
  <c r="N67" i="11"/>
  <c r="M67" i="11"/>
  <c r="P67" i="11" s="1"/>
  <c r="L67" i="11"/>
  <c r="O67" i="11" s="1"/>
  <c r="J65" i="11"/>
  <c r="I65" i="11"/>
  <c r="J64" i="11"/>
  <c r="I64" i="11"/>
  <c r="N61" i="11"/>
  <c r="L61" i="11"/>
  <c r="O61" i="11" s="1"/>
  <c r="L59" i="11"/>
  <c r="L58" i="11"/>
  <c r="N57" i="11"/>
  <c r="M57" i="11"/>
  <c r="O54" i="11"/>
  <c r="N54" i="11"/>
  <c r="M54" i="11"/>
  <c r="P54" i="11" s="1"/>
  <c r="L54" i="11"/>
  <c r="N49" i="11"/>
  <c r="L49" i="11"/>
  <c r="M49" i="11" s="1"/>
  <c r="L47" i="11"/>
  <c r="L46" i="11"/>
  <c r="N45" i="11"/>
  <c r="M45" i="11"/>
  <c r="N42" i="11"/>
  <c r="M42" i="11"/>
  <c r="P42" i="11" s="1"/>
  <c r="L42" i="11"/>
  <c r="P36" i="11"/>
  <c r="O36" i="11"/>
  <c r="P35" i="11"/>
  <c r="O35" i="11"/>
  <c r="M34" i="11"/>
  <c r="P34" i="11" s="1"/>
  <c r="P33" i="11"/>
  <c r="M33" i="11"/>
  <c r="P32" i="11"/>
  <c r="M32" i="11"/>
  <c r="P31" i="11"/>
  <c r="M31" i="11"/>
  <c r="M30" i="11"/>
  <c r="P30" i="11" s="1"/>
  <c r="M29" i="11"/>
  <c r="P29" i="11" s="1"/>
  <c r="M28" i="11"/>
  <c r="P28" i="11" s="1"/>
  <c r="P25" i="11"/>
  <c r="O25" i="11"/>
  <c r="N25" i="11"/>
  <c r="N15" i="11" s="1"/>
  <c r="M25" i="11"/>
  <c r="L25" i="11"/>
  <c r="N24" i="11"/>
  <c r="M24" i="11"/>
  <c r="P24" i="11" s="1"/>
  <c r="N23" i="11"/>
  <c r="M23" i="11"/>
  <c r="P23" i="11" s="1"/>
  <c r="N21" i="11"/>
  <c r="M21" i="11"/>
  <c r="L21" i="11"/>
  <c r="N19" i="11"/>
  <c r="M15" i="11"/>
  <c r="P15" i="11" s="1"/>
  <c r="L15" i="11"/>
  <c r="O15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N559" i="10"/>
  <c r="N558" i="10"/>
  <c r="N557" i="10"/>
  <c r="N556" i="10"/>
  <c r="N555" i="10"/>
  <c r="L555" i="10"/>
  <c r="N554" i="10"/>
  <c r="L554" i="10"/>
  <c r="O554" i="10" s="1"/>
  <c r="N553" i="10"/>
  <c r="L553" i="10"/>
  <c r="N552" i="10"/>
  <c r="L552" i="10"/>
  <c r="O552" i="10" s="1"/>
  <c r="N551" i="10"/>
  <c r="L551" i="10"/>
  <c r="J551" i="10"/>
  <c r="I551" i="10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K376" i="10" s="1"/>
  <c r="J375" i="10"/>
  <c r="I375" i="10"/>
  <c r="K375" i="10" s="1"/>
  <c r="J374" i="10"/>
  <c r="I374" i="10"/>
  <c r="J373" i="10"/>
  <c r="I373" i="10"/>
  <c r="K373" i="10" s="1"/>
  <c r="J372" i="10"/>
  <c r="I372" i="10"/>
  <c r="K372" i="10" s="1"/>
  <c r="J371" i="10"/>
  <c r="I371" i="10"/>
  <c r="J370" i="10"/>
  <c r="I370" i="10"/>
  <c r="K370" i="10" s="1"/>
  <c r="J369" i="10"/>
  <c r="I369" i="10"/>
  <c r="K369" i="10" s="1"/>
  <c r="J368" i="10"/>
  <c r="I368" i="10"/>
  <c r="K368" i="10" s="1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O354" i="10" s="1"/>
  <c r="N353" i="10"/>
  <c r="L353" i="10"/>
  <c r="N352" i="10"/>
  <c r="L352" i="10"/>
  <c r="O352" i="10" s="1"/>
  <c r="N351" i="10"/>
  <c r="L351" i="10"/>
  <c r="J350" i="10"/>
  <c r="I350" i="10"/>
  <c r="K350" i="10" s="1"/>
  <c r="N349" i="10"/>
  <c r="L349" i="10"/>
  <c r="O349" i="10" s="1"/>
  <c r="J349" i="10"/>
  <c r="I349" i="10"/>
  <c r="K349" i="10" s="1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M337" i="10" s="1"/>
  <c r="L335" i="10"/>
  <c r="L334" i="10"/>
  <c r="N333" i="10"/>
  <c r="M333" i="10"/>
  <c r="O332" i="10"/>
  <c r="N330" i="10"/>
  <c r="M330" i="10"/>
  <c r="P330" i="10" s="1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L316" i="10"/>
  <c r="L315" i="10"/>
  <c r="N314" i="10"/>
  <c r="M314" i="10"/>
  <c r="O313" i="10"/>
  <c r="N311" i="10"/>
  <c r="M311" i="10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P291" i="10"/>
  <c r="N291" i="10"/>
  <c r="M291" i="10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N272" i="10"/>
  <c r="M272" i="10"/>
  <c r="P272" i="10" s="1"/>
  <c r="L272" i="10"/>
  <c r="O272" i="10" s="1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L256" i="10"/>
  <c r="L255" i="10"/>
  <c r="N254" i="10"/>
  <c r="M254" i="10"/>
  <c r="O253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K235" i="10" s="1"/>
  <c r="J234" i="10"/>
  <c r="J233" i="10"/>
  <c r="J232" i="10"/>
  <c r="J231" i="10"/>
  <c r="J229" i="10"/>
  <c r="I229" i="10"/>
  <c r="K229" i="10" s="1"/>
  <c r="N228" i="10"/>
  <c r="L228" i="10"/>
  <c r="L226" i="10"/>
  <c r="L225" i="10"/>
  <c r="N224" i="10"/>
  <c r="M224" i="10"/>
  <c r="P224" i="10" s="1"/>
  <c r="O223" i="10"/>
  <c r="N221" i="10"/>
  <c r="M221" i="10"/>
  <c r="P221" i="10" s="1"/>
  <c r="L221" i="10"/>
  <c r="J219" i="10"/>
  <c r="I219" i="10"/>
  <c r="K219" i="10" s="1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P141" i="10"/>
  <c r="N141" i="10"/>
  <c r="M141" i="10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N119" i="10"/>
  <c r="M119" i="10"/>
  <c r="P119" i="10" s="1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O97" i="10"/>
  <c r="N95" i="10"/>
  <c r="M95" i="10"/>
  <c r="P95" i="10" s="1"/>
  <c r="L95" i="10"/>
  <c r="O95" i="10" s="1"/>
  <c r="J93" i="10"/>
  <c r="I93" i="10"/>
  <c r="K93" i="10" s="1"/>
  <c r="J92" i="10"/>
  <c r="I92" i="10"/>
  <c r="K92" i="10" s="1"/>
  <c r="J90" i="10"/>
  <c r="J89" i="10"/>
  <c r="J88" i="10"/>
  <c r="I88" i="10"/>
  <c r="J87" i="10"/>
  <c r="I87" i="10"/>
  <c r="J86" i="10"/>
  <c r="I86" i="10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M74" i="10" s="1"/>
  <c r="L72" i="10"/>
  <c r="L71" i="10"/>
  <c r="N70" i="10"/>
  <c r="M70" i="10"/>
  <c r="O69" i="10"/>
  <c r="N67" i="10"/>
  <c r="M67" i="10"/>
  <c r="P67" i="10" s="1"/>
  <c r="L67" i="10"/>
  <c r="O67" i="10" s="1"/>
  <c r="J65" i="10"/>
  <c r="I65" i="10"/>
  <c r="J64" i="10"/>
  <c r="I64" i="10"/>
  <c r="N61" i="10"/>
  <c r="L61" i="10"/>
  <c r="O61" i="10" s="1"/>
  <c r="L59" i="10"/>
  <c r="L58" i="10"/>
  <c r="N57" i="10"/>
  <c r="M57" i="10"/>
  <c r="P54" i="10"/>
  <c r="N54" i="10"/>
  <c r="M54" i="10"/>
  <c r="L54" i="10"/>
  <c r="O54" i="10" s="1"/>
  <c r="N49" i="10"/>
  <c r="L49" i="10"/>
  <c r="O49" i="10" s="1"/>
  <c r="L47" i="10"/>
  <c r="L46" i="10"/>
  <c r="N45" i="10"/>
  <c r="M45" i="10"/>
  <c r="N42" i="10"/>
  <c r="M42" i="10"/>
  <c r="P42" i="10" s="1"/>
  <c r="L42" i="10"/>
  <c r="P36" i="10"/>
  <c r="O36" i="10"/>
  <c r="P35" i="10"/>
  <c r="O35" i="10"/>
  <c r="M34" i="10"/>
  <c r="P34" i="10" s="1"/>
  <c r="P33" i="10"/>
  <c r="M33" i="10"/>
  <c r="P32" i="10"/>
  <c r="M32" i="10"/>
  <c r="P31" i="10"/>
  <c r="M31" i="10"/>
  <c r="M29" i="10" s="1"/>
  <c r="M30" i="10"/>
  <c r="P30" i="10" s="1"/>
  <c r="P25" i="10"/>
  <c r="O25" i="10"/>
  <c r="N25" i="10"/>
  <c r="M25" i="10"/>
  <c r="L25" i="10"/>
  <c r="N24" i="10"/>
  <c r="M24" i="10"/>
  <c r="M14" i="10" s="1"/>
  <c r="P14" i="10" s="1"/>
  <c r="N23" i="10"/>
  <c r="M23" i="10"/>
  <c r="P23" i="10" s="1"/>
  <c r="N21" i="10"/>
  <c r="M21" i="10"/>
  <c r="L21" i="10"/>
  <c r="N19" i="10"/>
  <c r="N15" i="10"/>
  <c r="M15" i="10"/>
  <c r="P15" i="10" s="1"/>
  <c r="L15" i="10"/>
  <c r="O15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J661" i="9"/>
  <c r="J660" i="9"/>
  <c r="J659" i="9"/>
  <c r="J658" i="9"/>
  <c r="J657" i="9"/>
  <c r="J656" i="9"/>
  <c r="J655" i="9"/>
  <c r="J653" i="9"/>
  <c r="J652" i="9"/>
  <c r="N651" i="9"/>
  <c r="L651" i="9"/>
  <c r="I651" i="9"/>
  <c r="N650" i="9"/>
  <c r="L650" i="9"/>
  <c r="J650" i="9"/>
  <c r="I650" i="9"/>
  <c r="N649" i="9"/>
  <c r="L649" i="9"/>
  <c r="O649" i="9" s="1"/>
  <c r="J649" i="9"/>
  <c r="I649" i="9"/>
  <c r="K649" i="9" s="1"/>
  <c r="N648" i="9"/>
  <c r="L648" i="9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5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N352" i="9"/>
  <c r="L352" i="9"/>
  <c r="N351" i="9"/>
  <c r="L351" i="9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M337" i="9" s="1"/>
  <c r="L335" i="9"/>
  <c r="L334" i="9"/>
  <c r="N333" i="9"/>
  <c r="M333" i="9"/>
  <c r="O332" i="9"/>
  <c r="P330" i="9"/>
  <c r="O330" i="9"/>
  <c r="N330" i="9"/>
  <c r="M330" i="9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L316" i="9"/>
  <c r="L315" i="9"/>
  <c r="N314" i="9"/>
  <c r="M314" i="9"/>
  <c r="P314" i="9" s="1"/>
  <c r="O313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P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N272" i="9"/>
  <c r="M272" i="9"/>
  <c r="P272" i="9" s="1"/>
  <c r="L272" i="9"/>
  <c r="O272" i="9" s="1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L256" i="9"/>
  <c r="L255" i="9"/>
  <c r="N254" i="9"/>
  <c r="M254" i="9"/>
  <c r="O253" i="9"/>
  <c r="N251" i="9"/>
  <c r="M251" i="9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L226" i="9"/>
  <c r="L225" i="9"/>
  <c r="N224" i="9"/>
  <c r="M224" i="9"/>
  <c r="O223" i="9"/>
  <c r="N221" i="9"/>
  <c r="M221" i="9"/>
  <c r="P221" i="9" s="1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M140" i="9" s="1"/>
  <c r="O143" i="9"/>
  <c r="N141" i="9"/>
  <c r="M141" i="9"/>
  <c r="P141" i="9" s="1"/>
  <c r="L141" i="9"/>
  <c r="O141" i="9" s="1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P119" i="9"/>
  <c r="O119" i="9"/>
  <c r="N119" i="9"/>
  <c r="M119" i="9"/>
  <c r="L119" i="9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L100" i="9"/>
  <c r="L99" i="9"/>
  <c r="N98" i="9"/>
  <c r="M98" i="9"/>
  <c r="P98" i="9" s="1"/>
  <c r="O97" i="9"/>
  <c r="O95" i="9"/>
  <c r="N95" i="9"/>
  <c r="M95" i="9"/>
  <c r="P95" i="9" s="1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P70" i="9" s="1"/>
  <c r="O69" i="9"/>
  <c r="N67" i="9"/>
  <c r="M67" i="9"/>
  <c r="P67" i="9" s="1"/>
  <c r="L67" i="9"/>
  <c r="O67" i="9" s="1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N54" i="9"/>
  <c r="M54" i="9"/>
  <c r="P54" i="9" s="1"/>
  <c r="L54" i="9"/>
  <c r="O54" i="9" s="1"/>
  <c r="N49" i="9"/>
  <c r="L49" i="9"/>
  <c r="O49" i="9" s="1"/>
  <c r="L47" i="9"/>
  <c r="L46" i="9"/>
  <c r="N45" i="9"/>
  <c r="M45" i="9"/>
  <c r="M43" i="9" s="1"/>
  <c r="P42" i="9"/>
  <c r="O42" i="9"/>
  <c r="N42" i="9"/>
  <c r="M42" i="9"/>
  <c r="L42" i="9"/>
  <c r="P36" i="9"/>
  <c r="O36" i="9"/>
  <c r="P35" i="9"/>
  <c r="O35" i="9"/>
  <c r="P34" i="9"/>
  <c r="M34" i="9"/>
  <c r="M33" i="9"/>
  <c r="P33" i="9" s="1"/>
  <c r="M32" i="9"/>
  <c r="P32" i="9" s="1"/>
  <c r="M31" i="9"/>
  <c r="O25" i="9"/>
  <c r="N25" i="9"/>
  <c r="N15" i="9" s="1"/>
  <c r="M25" i="9"/>
  <c r="P25" i="9" s="1"/>
  <c r="L25" i="9"/>
  <c r="N24" i="9"/>
  <c r="M24" i="9"/>
  <c r="P24" i="9" s="1"/>
  <c r="N23" i="9"/>
  <c r="M23" i="9"/>
  <c r="M13" i="9" s="1"/>
  <c r="P13" i="9" s="1"/>
  <c r="P21" i="9"/>
  <c r="O21" i="9"/>
  <c r="N21" i="9"/>
  <c r="M21" i="9"/>
  <c r="L21" i="9"/>
  <c r="M19" i="9"/>
  <c r="P19" i="9" s="1"/>
  <c r="L19" i="9"/>
  <c r="O19" i="9" s="1"/>
  <c r="L15" i="9"/>
  <c r="O15" i="9" s="1"/>
  <c r="M11" i="9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O665" i="8" s="1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O651" i="8" s="1"/>
  <c r="I651" i="8"/>
  <c r="K651" i="8" s="1"/>
  <c r="N650" i="8"/>
  <c r="L650" i="8"/>
  <c r="O650" i="8" s="1"/>
  <c r="J650" i="8"/>
  <c r="I650" i="8"/>
  <c r="K650" i="8" s="1"/>
  <c r="N649" i="8"/>
  <c r="L649" i="8"/>
  <c r="O649" i="8" s="1"/>
  <c r="J649" i="8"/>
  <c r="I649" i="8"/>
  <c r="K649" i="8" s="1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N330" i="8"/>
  <c r="M330" i="8"/>
  <c r="P330" i="8" s="1"/>
  <c r="L330" i="8"/>
  <c r="O330" i="8" s="1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P311" i="8"/>
  <c r="N311" i="8"/>
  <c r="M311" i="8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N291" i="8"/>
  <c r="M291" i="8"/>
  <c r="P291" i="8" s="1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L277" i="8"/>
  <c r="L276" i="8"/>
  <c r="N275" i="8"/>
  <c r="M275" i="8"/>
  <c r="O274" i="8"/>
  <c r="N272" i="8"/>
  <c r="M272" i="8"/>
  <c r="P272" i="8" s="1"/>
  <c r="L272" i="8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N251" i="8"/>
  <c r="M251" i="8"/>
  <c r="P251" i="8" s="1"/>
  <c r="L251" i="8"/>
  <c r="O251" i="8" s="1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O223" i="8"/>
  <c r="O221" i="8"/>
  <c r="N221" i="8"/>
  <c r="M221" i="8"/>
  <c r="P221" i="8" s="1"/>
  <c r="L221" i="8"/>
  <c r="J219" i="8"/>
  <c r="I219" i="8"/>
  <c r="J218" i="8"/>
  <c r="J217" i="8"/>
  <c r="J216" i="8"/>
  <c r="I216" i="8"/>
  <c r="J215" i="8"/>
  <c r="I215" i="8"/>
  <c r="J213" i="8"/>
  <c r="I213" i="8"/>
  <c r="J212" i="8"/>
  <c r="J211" i="8"/>
  <c r="J210" i="8"/>
  <c r="J209" i="8"/>
  <c r="J204" i="8"/>
  <c r="I204" i="8"/>
  <c r="J203" i="8"/>
  <c r="J202" i="8"/>
  <c r="J201" i="8"/>
  <c r="I201" i="8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L146" i="8"/>
  <c r="L145" i="8"/>
  <c r="N144" i="8"/>
  <c r="M144" i="8"/>
  <c r="O143" i="8"/>
  <c r="O141" i="8"/>
  <c r="N141" i="8"/>
  <c r="M141" i="8"/>
  <c r="P141" i="8" s="1"/>
  <c r="L141" i="8"/>
  <c r="J138" i="8"/>
  <c r="I138" i="8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N119" i="8"/>
  <c r="M119" i="8"/>
  <c r="P119" i="8" s="1"/>
  <c r="L119" i="8"/>
  <c r="O119" i="8" s="1"/>
  <c r="J117" i="8"/>
  <c r="I117" i="8"/>
  <c r="J115" i="8"/>
  <c r="J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J106" i="8"/>
  <c r="J105" i="8"/>
  <c r="J104" i="8"/>
  <c r="N102" i="8"/>
  <c r="L102" i="8"/>
  <c r="M102" i="8" s="1"/>
  <c r="L100" i="8"/>
  <c r="L99" i="8"/>
  <c r="N98" i="8"/>
  <c r="M98" i="8"/>
  <c r="O97" i="8"/>
  <c r="N95" i="8"/>
  <c r="M95" i="8"/>
  <c r="P95" i="8" s="1"/>
  <c r="L95" i="8"/>
  <c r="O95" i="8" s="1"/>
  <c r="J93" i="8"/>
  <c r="I93" i="8"/>
  <c r="J92" i="8"/>
  <c r="I92" i="8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L72" i="8"/>
  <c r="L71" i="8"/>
  <c r="N70" i="8"/>
  <c r="M70" i="8"/>
  <c r="M68" i="8" s="1"/>
  <c r="M66" i="8" s="1"/>
  <c r="O69" i="8"/>
  <c r="N67" i="8"/>
  <c r="M67" i="8"/>
  <c r="P67" i="8" s="1"/>
  <c r="L67" i="8"/>
  <c r="O67" i="8" s="1"/>
  <c r="J65" i="8"/>
  <c r="I65" i="8"/>
  <c r="J64" i="8"/>
  <c r="I64" i="8"/>
  <c r="N61" i="8"/>
  <c r="L61" i="8"/>
  <c r="O61" i="8" s="1"/>
  <c r="L59" i="8"/>
  <c r="L58" i="8"/>
  <c r="N57" i="8"/>
  <c r="M57" i="8"/>
  <c r="M55" i="8" s="1"/>
  <c r="N54" i="8"/>
  <c r="M54" i="8"/>
  <c r="P54" i="8" s="1"/>
  <c r="L54" i="8"/>
  <c r="O54" i="8" s="1"/>
  <c r="N49" i="8"/>
  <c r="L49" i="8"/>
  <c r="L47" i="8"/>
  <c r="L46" i="8"/>
  <c r="N45" i="8"/>
  <c r="M45" i="8"/>
  <c r="P42" i="8"/>
  <c r="N42" i="8"/>
  <c r="M42" i="8"/>
  <c r="L42" i="8"/>
  <c r="P36" i="8"/>
  <c r="O36" i="8"/>
  <c r="P35" i="8"/>
  <c r="O35" i="8"/>
  <c r="M34" i="8"/>
  <c r="P34" i="8" s="1"/>
  <c r="M33" i="8"/>
  <c r="P33" i="8" s="1"/>
  <c r="P32" i="8"/>
  <c r="M32" i="8"/>
  <c r="P31" i="8"/>
  <c r="M31" i="8"/>
  <c r="M29" i="8" s="1"/>
  <c r="M30" i="8"/>
  <c r="P30" i="8" s="1"/>
  <c r="N25" i="8"/>
  <c r="N15" i="8" s="1"/>
  <c r="M25" i="8"/>
  <c r="P25" i="8" s="1"/>
  <c r="L25" i="8"/>
  <c r="L15" i="8" s="1"/>
  <c r="O15" i="8" s="1"/>
  <c r="N24" i="8"/>
  <c r="M24" i="8"/>
  <c r="P24" i="8" s="1"/>
  <c r="N23" i="8"/>
  <c r="M23" i="8"/>
  <c r="P23" i="8" s="1"/>
  <c r="N21" i="8"/>
  <c r="N19" i="8" s="1"/>
  <c r="M21" i="8"/>
  <c r="L21" i="8"/>
  <c r="M15" i="8"/>
  <c r="P15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N330" i="7"/>
  <c r="M330" i="7"/>
  <c r="P330" i="7" s="1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N311" i="7"/>
  <c r="M311" i="7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N291" i="7"/>
  <c r="M291" i="7"/>
  <c r="P291" i="7" s="1"/>
  <c r="L291" i="7"/>
  <c r="J289" i="7"/>
  <c r="I289" i="7"/>
  <c r="K289" i="7" s="1"/>
  <c r="J287" i="7"/>
  <c r="J286" i="7"/>
  <c r="J285" i="7"/>
  <c r="I285" i="7"/>
  <c r="J284" i="7"/>
  <c r="J283" i="7"/>
  <c r="J282" i="7"/>
  <c r="J281" i="7"/>
  <c r="N279" i="7"/>
  <c r="L279" i="7"/>
  <c r="O279" i="7" s="1"/>
  <c r="L277" i="7"/>
  <c r="L276" i="7"/>
  <c r="N275" i="7"/>
  <c r="M275" i="7"/>
  <c r="M273" i="7" s="1"/>
  <c r="O274" i="7"/>
  <c r="N272" i="7"/>
  <c r="M272" i="7"/>
  <c r="P272" i="7" s="1"/>
  <c r="L272" i="7"/>
  <c r="O272" i="7" s="1"/>
  <c r="J270" i="7"/>
  <c r="I270" i="7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O253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L226" i="7"/>
  <c r="L225" i="7"/>
  <c r="N224" i="7"/>
  <c r="M224" i="7"/>
  <c r="O223" i="7"/>
  <c r="N221" i="7"/>
  <c r="M221" i="7"/>
  <c r="P221" i="7" s="1"/>
  <c r="L221" i="7"/>
  <c r="J219" i="7"/>
  <c r="I219" i="7"/>
  <c r="J218" i="7"/>
  <c r="J217" i="7"/>
  <c r="J216" i="7"/>
  <c r="I216" i="7"/>
  <c r="J215" i="7"/>
  <c r="I215" i="7"/>
  <c r="J213" i="7"/>
  <c r="I213" i="7"/>
  <c r="J212" i="7"/>
  <c r="J211" i="7"/>
  <c r="J210" i="7"/>
  <c r="J209" i="7"/>
  <c r="J204" i="7"/>
  <c r="I204" i="7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P141" i="7"/>
  <c r="N141" i="7"/>
  <c r="M141" i="7"/>
  <c r="L141" i="7"/>
  <c r="O141" i="7" s="1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P122" i="7" s="1"/>
  <c r="O121" i="7"/>
  <c r="O119" i="7"/>
  <c r="N119" i="7"/>
  <c r="M119" i="7"/>
  <c r="P119" i="7" s="1"/>
  <c r="L119" i="7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O97" i="7"/>
  <c r="N95" i="7"/>
  <c r="M95" i="7"/>
  <c r="P95" i="7" s="1"/>
  <c r="L95" i="7"/>
  <c r="O95" i="7" s="1"/>
  <c r="J93" i="7"/>
  <c r="I93" i="7"/>
  <c r="J92" i="7"/>
  <c r="I92" i="7"/>
  <c r="J90" i="7"/>
  <c r="J89" i="7"/>
  <c r="J88" i="7"/>
  <c r="I88" i="7"/>
  <c r="J87" i="7"/>
  <c r="I87" i="7"/>
  <c r="J86" i="7"/>
  <c r="I86" i="7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J80" i="7"/>
  <c r="I80" i="7"/>
  <c r="J79" i="7"/>
  <c r="J78" i="7"/>
  <c r="J77" i="7"/>
  <c r="J76" i="7"/>
  <c r="N74" i="7"/>
  <c r="L74" i="7"/>
  <c r="L72" i="7"/>
  <c r="L71" i="7"/>
  <c r="N70" i="7"/>
  <c r="M70" i="7"/>
  <c r="O69" i="7"/>
  <c r="N67" i="7"/>
  <c r="M67" i="7"/>
  <c r="P67" i="7" s="1"/>
  <c r="L67" i="7"/>
  <c r="J65" i="7"/>
  <c r="I65" i="7"/>
  <c r="J64" i="7"/>
  <c r="I64" i="7"/>
  <c r="N61" i="7"/>
  <c r="L61" i="7"/>
  <c r="O61" i="7" s="1"/>
  <c r="L59" i="7"/>
  <c r="L58" i="7"/>
  <c r="N57" i="7"/>
  <c r="M57" i="7"/>
  <c r="M55" i="7" s="1"/>
  <c r="N54" i="7"/>
  <c r="M54" i="7"/>
  <c r="L54" i="7"/>
  <c r="O54" i="7" s="1"/>
  <c r="N49" i="7"/>
  <c r="L49" i="7"/>
  <c r="L47" i="7"/>
  <c r="L46" i="7"/>
  <c r="N45" i="7"/>
  <c r="M45" i="7"/>
  <c r="N42" i="7"/>
  <c r="M42" i="7"/>
  <c r="P42" i="7" s="1"/>
  <c r="L42" i="7"/>
  <c r="O42" i="7" s="1"/>
  <c r="P36" i="7"/>
  <c r="O36" i="7"/>
  <c r="P35" i="7"/>
  <c r="O35" i="7"/>
  <c r="M34" i="7"/>
  <c r="P34" i="7" s="1"/>
  <c r="M33" i="7"/>
  <c r="P33" i="7" s="1"/>
  <c r="M32" i="7"/>
  <c r="P32" i="7" s="1"/>
  <c r="M31" i="7"/>
  <c r="P31" i="7" s="1"/>
  <c r="P25" i="7"/>
  <c r="N25" i="7"/>
  <c r="N15" i="7" s="1"/>
  <c r="M25" i="7"/>
  <c r="L25" i="7"/>
  <c r="O25" i="7" s="1"/>
  <c r="N24" i="7"/>
  <c r="M24" i="7"/>
  <c r="P24" i="7" s="1"/>
  <c r="N23" i="7"/>
  <c r="M23" i="7"/>
  <c r="N21" i="7"/>
  <c r="N19" i="7" s="1"/>
  <c r="M21" i="7"/>
  <c r="M19" i="7" s="1"/>
  <c r="L21" i="7"/>
  <c r="M15" i="7"/>
  <c r="L15" i="7"/>
  <c r="O15" i="7" s="1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I651" i="6"/>
  <c r="N650" i="6"/>
  <c r="L650" i="6"/>
  <c r="J650" i="6"/>
  <c r="I650" i="6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N457" i="6"/>
  <c r="L457" i="6"/>
  <c r="N456" i="6"/>
  <c r="L456" i="6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O332" i="6"/>
  <c r="N330" i="6"/>
  <c r="M330" i="6"/>
  <c r="P330" i="6" s="1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P314" i="6" s="1"/>
  <c r="O313" i="6"/>
  <c r="P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M292" i="6" s="1"/>
  <c r="M290" i="6" s="1"/>
  <c r="P290" i="6" s="1"/>
  <c r="O293" i="6"/>
  <c r="N291" i="6"/>
  <c r="M291" i="6"/>
  <c r="P291" i="6" s="1"/>
  <c r="L291" i="6"/>
  <c r="O291" i="6" s="1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L277" i="6"/>
  <c r="L276" i="6"/>
  <c r="N275" i="6"/>
  <c r="M275" i="6"/>
  <c r="M273" i="6" s="1"/>
  <c r="O274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O253" i="6"/>
  <c r="N251" i="6"/>
  <c r="M251" i="6"/>
  <c r="P251" i="6" s="1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P221" i="6"/>
  <c r="N221" i="6"/>
  <c r="M221" i="6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O141" i="6"/>
  <c r="N141" i="6"/>
  <c r="M141" i="6"/>
  <c r="P141" i="6" s="1"/>
  <c r="L141" i="6"/>
  <c r="J138" i="6"/>
  <c r="I138" i="6"/>
  <c r="K138" i="6" s="1"/>
  <c r="J135" i="6"/>
  <c r="J134" i="6"/>
  <c r="J133" i="6"/>
  <c r="I133" i="6"/>
  <c r="J132" i="6"/>
  <c r="I132" i="6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P119" i="6"/>
  <c r="N119" i="6"/>
  <c r="M119" i="6"/>
  <c r="L119" i="6"/>
  <c r="O119" i="6" s="1"/>
  <c r="J117" i="6"/>
  <c r="I117" i="6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L100" i="6"/>
  <c r="L99" i="6"/>
  <c r="N98" i="6"/>
  <c r="M98" i="6"/>
  <c r="O97" i="6"/>
  <c r="N95" i="6"/>
  <c r="M95" i="6"/>
  <c r="P95" i="6" s="1"/>
  <c r="L95" i="6"/>
  <c r="O95" i="6" s="1"/>
  <c r="J93" i="6"/>
  <c r="I93" i="6"/>
  <c r="J92" i="6"/>
  <c r="I92" i="6"/>
  <c r="J90" i="6"/>
  <c r="J89" i="6"/>
  <c r="J88" i="6"/>
  <c r="I88" i="6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O69" i="6"/>
  <c r="O67" i="6"/>
  <c r="N67" i="6"/>
  <c r="M67" i="6"/>
  <c r="P67" i="6" s="1"/>
  <c r="L67" i="6"/>
  <c r="J65" i="6"/>
  <c r="I65" i="6"/>
  <c r="J64" i="6"/>
  <c r="I64" i="6"/>
  <c r="N61" i="6"/>
  <c r="L61" i="6"/>
  <c r="O61" i="6" s="1"/>
  <c r="L59" i="6"/>
  <c r="L58" i="6"/>
  <c r="N57" i="6"/>
  <c r="M57" i="6"/>
  <c r="M55" i="6" s="1"/>
  <c r="P54" i="6"/>
  <c r="O54" i="6"/>
  <c r="N54" i="6"/>
  <c r="M54" i="6"/>
  <c r="L54" i="6"/>
  <c r="N49" i="6"/>
  <c r="L49" i="6"/>
  <c r="L47" i="6"/>
  <c r="L46" i="6"/>
  <c r="N45" i="6"/>
  <c r="M45" i="6"/>
  <c r="N42" i="6"/>
  <c r="M42" i="6"/>
  <c r="P42" i="6" s="1"/>
  <c r="L42" i="6"/>
  <c r="O42" i="6" s="1"/>
  <c r="P36" i="6"/>
  <c r="O36" i="6"/>
  <c r="P35" i="6"/>
  <c r="O35" i="6"/>
  <c r="M34" i="6"/>
  <c r="P34" i="6" s="1"/>
  <c r="M33" i="6"/>
  <c r="P33" i="6" s="1"/>
  <c r="P32" i="6"/>
  <c r="M32" i="6"/>
  <c r="M30" i="6" s="1"/>
  <c r="P30" i="6" s="1"/>
  <c r="M31" i="6"/>
  <c r="P31" i="6" s="1"/>
  <c r="N25" i="6"/>
  <c r="N15" i="6" s="1"/>
  <c r="M25" i="6"/>
  <c r="L25" i="6"/>
  <c r="L15" i="6" s="1"/>
  <c r="O15" i="6" s="1"/>
  <c r="N24" i="6"/>
  <c r="M24" i="6"/>
  <c r="P24" i="6" s="1"/>
  <c r="N23" i="6"/>
  <c r="M23" i="6"/>
  <c r="N21" i="6"/>
  <c r="N19" i="6" s="1"/>
  <c r="M21" i="6"/>
  <c r="L21" i="6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N457" i="5"/>
  <c r="L457" i="5"/>
  <c r="N456" i="5"/>
  <c r="L456" i="5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P330" i="5"/>
  <c r="O330" i="5"/>
  <c r="N330" i="5"/>
  <c r="M330" i="5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O313" i="5"/>
  <c r="N311" i="5"/>
  <c r="M311" i="5"/>
  <c r="P311" i="5" s="1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N291" i="5"/>
  <c r="M291" i="5"/>
  <c r="L291" i="5"/>
  <c r="O291" i="5" s="1"/>
  <c r="J289" i="5"/>
  <c r="I289" i="5"/>
  <c r="K289" i="5" s="1"/>
  <c r="J287" i="5"/>
  <c r="J286" i="5"/>
  <c r="J285" i="5"/>
  <c r="I285" i="5"/>
  <c r="J284" i="5"/>
  <c r="J283" i="5"/>
  <c r="J282" i="5"/>
  <c r="J281" i="5"/>
  <c r="N279" i="5"/>
  <c r="L279" i="5"/>
  <c r="L277" i="5"/>
  <c r="L276" i="5"/>
  <c r="N275" i="5"/>
  <c r="M275" i="5"/>
  <c r="M273" i="5" s="1"/>
  <c r="O274" i="5"/>
  <c r="N272" i="5"/>
  <c r="M272" i="5"/>
  <c r="L272" i="5"/>
  <c r="O272" i="5" s="1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P254" i="5" s="1"/>
  <c r="O253" i="5"/>
  <c r="N251" i="5"/>
  <c r="M251" i="5"/>
  <c r="P251" i="5" s="1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P221" i="5"/>
  <c r="N221" i="5"/>
  <c r="M221" i="5"/>
  <c r="L221" i="5"/>
  <c r="O221" i="5" s="1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N141" i="5"/>
  <c r="M141" i="5"/>
  <c r="P141" i="5" s="1"/>
  <c r="L141" i="5"/>
  <c r="O141" i="5" s="1"/>
  <c r="J138" i="5"/>
  <c r="I138" i="5"/>
  <c r="K138" i="5" s="1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O121" i="5"/>
  <c r="N119" i="5"/>
  <c r="M119" i="5"/>
  <c r="P119" i="5" s="1"/>
  <c r="L119" i="5"/>
  <c r="O119" i="5" s="1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O95" i="5"/>
  <c r="N95" i="5"/>
  <c r="M95" i="5"/>
  <c r="P95" i="5" s="1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P70" i="5" s="1"/>
  <c r="O69" i="5"/>
  <c r="N67" i="5"/>
  <c r="M67" i="5"/>
  <c r="P67" i="5" s="1"/>
  <c r="L67" i="5"/>
  <c r="O67" i="5" s="1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O54" i="5"/>
  <c r="N54" i="5"/>
  <c r="M54" i="5"/>
  <c r="P54" i="5" s="1"/>
  <c r="L54" i="5"/>
  <c r="N49" i="5"/>
  <c r="L49" i="5"/>
  <c r="L47" i="5"/>
  <c r="L46" i="5"/>
  <c r="N45" i="5"/>
  <c r="M45" i="5"/>
  <c r="P42" i="5"/>
  <c r="N42" i="5"/>
  <c r="M42" i="5"/>
  <c r="L42" i="5"/>
  <c r="O42" i="5" s="1"/>
  <c r="P36" i="5"/>
  <c r="O36" i="5"/>
  <c r="P35" i="5"/>
  <c r="O35" i="5"/>
  <c r="M34" i="5"/>
  <c r="P34" i="5" s="1"/>
  <c r="M33" i="5"/>
  <c r="P33" i="5" s="1"/>
  <c r="M32" i="5"/>
  <c r="P31" i="5"/>
  <c r="M31" i="5"/>
  <c r="M29" i="5"/>
  <c r="N25" i="5"/>
  <c r="N19" i="5" s="1"/>
  <c r="M25" i="5"/>
  <c r="L25" i="5"/>
  <c r="O25" i="5" s="1"/>
  <c r="N24" i="5"/>
  <c r="M24" i="5"/>
  <c r="P24" i="5" s="1"/>
  <c r="N23" i="5"/>
  <c r="M23" i="5"/>
  <c r="N21" i="5"/>
  <c r="M21" i="5"/>
  <c r="P21" i="5" s="1"/>
  <c r="L21" i="5"/>
  <c r="L15" i="5"/>
  <c r="O15" i="5" s="1"/>
  <c r="M11" i="5"/>
  <c r="P11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J665" i="4"/>
  <c r="I665" i="4"/>
  <c r="K665" i="4" s="1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N651" i="4"/>
  <c r="L651" i="4"/>
  <c r="I651" i="4"/>
  <c r="N650" i="4"/>
  <c r="L650" i="4"/>
  <c r="O650" i="4" s="1"/>
  <c r="J650" i="4"/>
  <c r="I650" i="4"/>
  <c r="K650" i="4" s="1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N559" i="4"/>
  <c r="N558" i="4"/>
  <c r="N557" i="4"/>
  <c r="N556" i="4"/>
  <c r="N555" i="4"/>
  <c r="L555" i="4"/>
  <c r="N554" i="4"/>
  <c r="L554" i="4"/>
  <c r="O554" i="4" s="1"/>
  <c r="N553" i="4"/>
  <c r="L553" i="4"/>
  <c r="N552" i="4"/>
  <c r="L552" i="4"/>
  <c r="O552" i="4" s="1"/>
  <c r="N551" i="4"/>
  <c r="L551" i="4"/>
  <c r="J551" i="4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P330" i="4"/>
  <c r="O330" i="4"/>
  <c r="N330" i="4"/>
  <c r="M330" i="4"/>
  <c r="L330" i="4"/>
  <c r="J328" i="4"/>
  <c r="I328" i="4"/>
  <c r="J326" i="4"/>
  <c r="J325" i="4"/>
  <c r="J324" i="4"/>
  <c r="I324" i="4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N311" i="4"/>
  <c r="M311" i="4"/>
  <c r="P311" i="4" s="1"/>
  <c r="L311" i="4"/>
  <c r="J309" i="4"/>
  <c r="I309" i="4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N291" i="4"/>
  <c r="M291" i="4"/>
  <c r="P291" i="4" s="1"/>
  <c r="L291" i="4"/>
  <c r="O291" i="4" s="1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L277" i="4"/>
  <c r="L276" i="4"/>
  <c r="N275" i="4"/>
  <c r="M275" i="4"/>
  <c r="O274" i="4"/>
  <c r="N272" i="4"/>
  <c r="M272" i="4"/>
  <c r="L272" i="4"/>
  <c r="O272" i="4" s="1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N251" i="4"/>
  <c r="M251" i="4"/>
  <c r="P251" i="4" s="1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M220" i="4" s="1"/>
  <c r="O223" i="4"/>
  <c r="N221" i="4"/>
  <c r="M221" i="4"/>
  <c r="P221" i="4" s="1"/>
  <c r="L221" i="4"/>
  <c r="J219" i="4"/>
  <c r="I219" i="4"/>
  <c r="J218" i="4"/>
  <c r="J217" i="4"/>
  <c r="J216" i="4"/>
  <c r="I216" i="4"/>
  <c r="J215" i="4"/>
  <c r="I215" i="4"/>
  <c r="K215" i="4" s="1"/>
  <c r="J213" i="4"/>
  <c r="I213" i="4"/>
  <c r="J212" i="4"/>
  <c r="J211" i="4"/>
  <c r="J210" i="4"/>
  <c r="J209" i="4"/>
  <c r="J204" i="4"/>
  <c r="I204" i="4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P141" i="4"/>
  <c r="N141" i="4"/>
  <c r="M141" i="4"/>
  <c r="L141" i="4"/>
  <c r="O141" i="4" s="1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M120" i="4" s="1"/>
  <c r="P120" i="4" s="1"/>
  <c r="O121" i="4"/>
  <c r="O119" i="4"/>
  <c r="N119" i="4"/>
  <c r="M119" i="4"/>
  <c r="P119" i="4" s="1"/>
  <c r="L119" i="4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N95" i="4"/>
  <c r="M95" i="4"/>
  <c r="P95" i="4" s="1"/>
  <c r="L95" i="4"/>
  <c r="O95" i="4" s="1"/>
  <c r="J93" i="4"/>
  <c r="I93" i="4"/>
  <c r="J92" i="4"/>
  <c r="I92" i="4"/>
  <c r="J90" i="4"/>
  <c r="J89" i="4"/>
  <c r="J88" i="4"/>
  <c r="I88" i="4"/>
  <c r="J87" i="4"/>
  <c r="I87" i="4"/>
  <c r="J86" i="4"/>
  <c r="I86" i="4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J80" i="4"/>
  <c r="I80" i="4"/>
  <c r="J79" i="4"/>
  <c r="J78" i="4"/>
  <c r="J77" i="4"/>
  <c r="J76" i="4"/>
  <c r="N74" i="4"/>
  <c r="L74" i="4"/>
  <c r="O74" i="4" s="1"/>
  <c r="L72" i="4"/>
  <c r="L71" i="4"/>
  <c r="N70" i="4"/>
  <c r="M70" i="4"/>
  <c r="M68" i="4" s="1"/>
  <c r="O69" i="4"/>
  <c r="N67" i="4"/>
  <c r="M67" i="4"/>
  <c r="P67" i="4" s="1"/>
  <c r="L67" i="4"/>
  <c r="O67" i="4" s="1"/>
  <c r="J65" i="4"/>
  <c r="I65" i="4"/>
  <c r="J64" i="4"/>
  <c r="I64" i="4"/>
  <c r="N61" i="4"/>
  <c r="L61" i="4"/>
  <c r="O61" i="4" s="1"/>
  <c r="L59" i="4"/>
  <c r="L58" i="4"/>
  <c r="N57" i="4"/>
  <c r="M57" i="4"/>
  <c r="M55" i="4" s="1"/>
  <c r="M53" i="4" s="1"/>
  <c r="O54" i="4"/>
  <c r="N54" i="4"/>
  <c r="M54" i="4"/>
  <c r="P54" i="4" s="1"/>
  <c r="L54" i="4"/>
  <c r="N49" i="4"/>
  <c r="L49" i="4"/>
  <c r="L47" i="4"/>
  <c r="L46" i="4"/>
  <c r="N45" i="4"/>
  <c r="M45" i="4"/>
  <c r="N42" i="4"/>
  <c r="M42" i="4"/>
  <c r="P42" i="4" s="1"/>
  <c r="L42" i="4"/>
  <c r="P36" i="4"/>
  <c r="O36" i="4"/>
  <c r="P35" i="4"/>
  <c r="O35" i="4"/>
  <c r="M34" i="4"/>
  <c r="P34" i="4" s="1"/>
  <c r="M33" i="4"/>
  <c r="P33" i="4" s="1"/>
  <c r="M32" i="4"/>
  <c r="M30" i="4" s="1"/>
  <c r="P30" i="4" s="1"/>
  <c r="M31" i="4"/>
  <c r="P25" i="4"/>
  <c r="N25" i="4"/>
  <c r="M25" i="4"/>
  <c r="L25" i="4"/>
  <c r="O25" i="4" s="1"/>
  <c r="P24" i="4"/>
  <c r="N24" i="4"/>
  <c r="M24" i="4"/>
  <c r="N23" i="4"/>
  <c r="M23" i="4"/>
  <c r="P23" i="4" s="1"/>
  <c r="O21" i="4"/>
  <c r="N21" i="4"/>
  <c r="N19" i="4" s="1"/>
  <c r="M21" i="4"/>
  <c r="M19" i="4" s="1"/>
  <c r="L21" i="4"/>
  <c r="L19" i="4" s="1"/>
  <c r="O19" i="4" s="1"/>
  <c r="O15" i="4"/>
  <c r="N15" i="4"/>
  <c r="M15" i="4"/>
  <c r="P15" i="4" s="1"/>
  <c r="L15" i="4"/>
  <c r="M14" i="4"/>
  <c r="P14" i="4" s="1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O665" i="3" s="1"/>
  <c r="J665" i="3"/>
  <c r="I665" i="3"/>
  <c r="K665" i="3" s="1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O651" i="3" s="1"/>
  <c r="I651" i="3"/>
  <c r="K651" i="3" s="1"/>
  <c r="N650" i="3"/>
  <c r="L650" i="3"/>
  <c r="O650" i="3" s="1"/>
  <c r="J650" i="3"/>
  <c r="I650" i="3"/>
  <c r="K650" i="3" s="1"/>
  <c r="N649" i="3"/>
  <c r="L649" i="3"/>
  <c r="O649" i="3" s="1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J505" i="3"/>
  <c r="I505" i="3"/>
  <c r="K505" i="3" s="1"/>
  <c r="J504" i="3"/>
  <c r="I504" i="3"/>
  <c r="K504" i="3" s="1"/>
  <c r="J503" i="3"/>
  <c r="I503" i="3"/>
  <c r="K503" i="3" s="1"/>
  <c r="J502" i="3"/>
  <c r="I502" i="3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N337" i="3"/>
  <c r="L337" i="3"/>
  <c r="O337" i="3" s="1"/>
  <c r="L335" i="3"/>
  <c r="L334" i="3"/>
  <c r="N333" i="3"/>
  <c r="M333" i="3"/>
  <c r="M331" i="3" s="1"/>
  <c r="O332" i="3"/>
  <c r="N330" i="3"/>
  <c r="M330" i="3"/>
  <c r="P330" i="3" s="1"/>
  <c r="L330" i="3"/>
  <c r="O330" i="3" s="1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N311" i="3"/>
  <c r="M311" i="3"/>
  <c r="L311" i="3"/>
  <c r="O311" i="3" s="1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O293" i="3"/>
  <c r="N291" i="3"/>
  <c r="M291" i="3"/>
  <c r="P291" i="3" s="1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N272" i="3"/>
  <c r="M272" i="3"/>
  <c r="P272" i="3" s="1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O253" i="3"/>
  <c r="N251" i="3"/>
  <c r="M251" i="3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P221" i="3"/>
  <c r="O221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N141" i="3"/>
  <c r="M141" i="3"/>
  <c r="L141" i="3"/>
  <c r="O141" i="3" s="1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P122" i="3" s="1"/>
  <c r="O121" i="3"/>
  <c r="N119" i="3"/>
  <c r="M119" i="3"/>
  <c r="L119" i="3"/>
  <c r="O119" i="3" s="1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N95" i="3"/>
  <c r="M95" i="3"/>
  <c r="P95" i="3" s="1"/>
  <c r="L95" i="3"/>
  <c r="O95" i="3" s="1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M68" i="3" s="1"/>
  <c r="O69" i="3"/>
  <c r="N67" i="3"/>
  <c r="M67" i="3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O54" i="3"/>
  <c r="N54" i="3"/>
  <c r="M54" i="3"/>
  <c r="P54" i="3" s="1"/>
  <c r="L54" i="3"/>
  <c r="N49" i="3"/>
  <c r="L49" i="3"/>
  <c r="O49" i="3" s="1"/>
  <c r="L47" i="3"/>
  <c r="L46" i="3"/>
  <c r="N45" i="3"/>
  <c r="M45" i="3"/>
  <c r="M43" i="3" s="1"/>
  <c r="N42" i="3"/>
  <c r="M42" i="3"/>
  <c r="P42" i="3" s="1"/>
  <c r="L42" i="3"/>
  <c r="O42" i="3" s="1"/>
  <c r="P36" i="3"/>
  <c r="O36" i="3"/>
  <c r="P35" i="3"/>
  <c r="O35" i="3"/>
  <c r="M34" i="3"/>
  <c r="P34" i="3" s="1"/>
  <c r="P33" i="3"/>
  <c r="M33" i="3"/>
  <c r="M32" i="3"/>
  <c r="P32" i="3" s="1"/>
  <c r="M31" i="3"/>
  <c r="M29" i="3" s="1"/>
  <c r="P29" i="3" s="1"/>
  <c r="N25" i="3"/>
  <c r="M25" i="3"/>
  <c r="L25" i="3"/>
  <c r="O25" i="3" s="1"/>
  <c r="N24" i="3"/>
  <c r="M24" i="3"/>
  <c r="P24" i="3" s="1"/>
  <c r="N23" i="3"/>
  <c r="M23" i="3"/>
  <c r="N21" i="3"/>
  <c r="M21" i="3"/>
  <c r="L21" i="3"/>
  <c r="O21" i="3" s="1"/>
  <c r="L19" i="3"/>
  <c r="O19" i="3" s="1"/>
  <c r="M11" i="3"/>
  <c r="J677" i="2"/>
  <c r="J676" i="2"/>
  <c r="J675" i="2"/>
  <c r="J674" i="2"/>
  <c r="J673" i="2"/>
  <c r="J672" i="2"/>
  <c r="N671" i="2"/>
  <c r="L671" i="2"/>
  <c r="O671" i="2" s="1"/>
  <c r="I671" i="2"/>
  <c r="K671" i="2" s="1"/>
  <c r="J670" i="2"/>
  <c r="J669" i="2"/>
  <c r="N668" i="2"/>
  <c r="L668" i="2"/>
  <c r="O668" i="2" s="1"/>
  <c r="J668" i="2"/>
  <c r="I668" i="2"/>
  <c r="J667" i="2"/>
  <c r="J666" i="2"/>
  <c r="N665" i="2"/>
  <c r="L665" i="2"/>
  <c r="J665" i="2"/>
  <c r="I665" i="2"/>
  <c r="J663" i="2"/>
  <c r="I663" i="2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N650" i="2"/>
  <c r="L650" i="2"/>
  <c r="O650" i="2" s="1"/>
  <c r="J650" i="2"/>
  <c r="I650" i="2"/>
  <c r="N649" i="2"/>
  <c r="L649" i="2"/>
  <c r="O649" i="2" s="1"/>
  <c r="J649" i="2"/>
  <c r="I649" i="2"/>
  <c r="N648" i="2"/>
  <c r="L648" i="2"/>
  <c r="O648" i="2" s="1"/>
  <c r="J648" i="2"/>
  <c r="I648" i="2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K594" i="2" s="1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N580" i="2"/>
  <c r="L580" i="2"/>
  <c r="J580" i="2"/>
  <c r="I580" i="2"/>
  <c r="J579" i="2"/>
  <c r="I579" i="2"/>
  <c r="J578" i="2"/>
  <c r="I578" i="2"/>
  <c r="K578" i="2" s="1"/>
  <c r="J577" i="2"/>
  <c r="I577" i="2"/>
  <c r="J576" i="2"/>
  <c r="I576" i="2"/>
  <c r="K576" i="2" s="1"/>
  <c r="J575" i="2"/>
  <c r="I575" i="2"/>
  <c r="J573" i="2"/>
  <c r="I573" i="2"/>
  <c r="N572" i="2"/>
  <c r="N571" i="2"/>
  <c r="N570" i="2"/>
  <c r="N569" i="2"/>
  <c r="N568" i="2"/>
  <c r="L568" i="2"/>
  <c r="N567" i="2"/>
  <c r="L567" i="2"/>
  <c r="N566" i="2"/>
  <c r="L566" i="2"/>
  <c r="N565" i="2"/>
  <c r="L565" i="2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K373" i="2" s="1"/>
  <c r="J372" i="2"/>
  <c r="I372" i="2"/>
  <c r="K372" i="2" s="1"/>
  <c r="J371" i="2"/>
  <c r="I371" i="2"/>
  <c r="K371" i="2" s="1"/>
  <c r="J370" i="2"/>
  <c r="I370" i="2"/>
  <c r="K370" i="2" s="1"/>
  <c r="J369" i="2"/>
  <c r="I369" i="2"/>
  <c r="K369" i="2" s="1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O353" i="2" s="1"/>
  <c r="N352" i="2"/>
  <c r="L352" i="2"/>
  <c r="N351" i="2"/>
  <c r="L351" i="2"/>
  <c r="O351" i="2" s="1"/>
  <c r="J350" i="2"/>
  <c r="I350" i="2"/>
  <c r="K350" i="2" s="1"/>
  <c r="N349" i="2"/>
  <c r="L349" i="2"/>
  <c r="O349" i="2" s="1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O332" i="2"/>
  <c r="N330" i="2"/>
  <c r="M330" i="2"/>
  <c r="M330" i="1" s="1"/>
  <c r="P330" i="1" s="1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O313" i="2"/>
  <c r="O311" i="2"/>
  <c r="N311" i="2"/>
  <c r="M311" i="2"/>
  <c r="P311" i="2" s="1"/>
  <c r="L311" i="2"/>
  <c r="J309" i="2"/>
  <c r="I309" i="2"/>
  <c r="J308" i="2"/>
  <c r="J307" i="2"/>
  <c r="J306" i="2"/>
  <c r="I306" i="2"/>
  <c r="K306" i="2" s="1"/>
  <c r="J304" i="2"/>
  <c r="I304" i="2"/>
  <c r="K304" i="2" s="1"/>
  <c r="J303" i="2"/>
  <c r="J302" i="2"/>
  <c r="J301" i="2"/>
  <c r="J300" i="2"/>
  <c r="N298" i="2"/>
  <c r="L298" i="2"/>
  <c r="O298" i="2" s="1"/>
  <c r="L296" i="2"/>
  <c r="L295" i="2"/>
  <c r="N294" i="2"/>
  <c r="M294" i="2"/>
  <c r="P294" i="2" s="1"/>
  <c r="O293" i="2"/>
  <c r="N291" i="2"/>
  <c r="M291" i="2"/>
  <c r="M291" i="1" s="1"/>
  <c r="P291" i="1" s="1"/>
  <c r="L291" i="2"/>
  <c r="O291" i="2" s="1"/>
  <c r="J289" i="2"/>
  <c r="I289" i="2"/>
  <c r="K289" i="2" s="1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O274" i="2"/>
  <c r="P272" i="2"/>
  <c r="N272" i="2"/>
  <c r="M272" i="2"/>
  <c r="L272" i="2"/>
  <c r="J270" i="2"/>
  <c r="I270" i="2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P254" i="2" s="1"/>
  <c r="O253" i="2"/>
  <c r="O251" i="2"/>
  <c r="N251" i="2"/>
  <c r="M251" i="2"/>
  <c r="P251" i="2" s="1"/>
  <c r="L251" i="2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O223" i="2"/>
  <c r="N221" i="2"/>
  <c r="M221" i="2"/>
  <c r="L221" i="2"/>
  <c r="O221" i="2" s="1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L146" i="2"/>
  <c r="L145" i="2"/>
  <c r="N144" i="2"/>
  <c r="M144" i="2"/>
  <c r="O143" i="2"/>
  <c r="N141" i="2"/>
  <c r="M141" i="2"/>
  <c r="L141" i="2"/>
  <c r="O141" i="2" s="1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P119" i="2"/>
  <c r="N119" i="2"/>
  <c r="M119" i="2"/>
  <c r="L119" i="2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O95" i="2"/>
  <c r="N95" i="2"/>
  <c r="M95" i="2"/>
  <c r="L95" i="2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O69" i="2"/>
  <c r="O67" i="2"/>
  <c r="N67" i="2"/>
  <c r="M67" i="2"/>
  <c r="P67" i="2" s="1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P54" i="2"/>
  <c r="N54" i="2"/>
  <c r="M54" i="2"/>
  <c r="L54" i="2"/>
  <c r="O54" i="2" s="1"/>
  <c r="N49" i="2"/>
  <c r="L49" i="2"/>
  <c r="O49" i="2" s="1"/>
  <c r="L47" i="2"/>
  <c r="L46" i="2"/>
  <c r="N45" i="2"/>
  <c r="M45" i="2"/>
  <c r="N42" i="2"/>
  <c r="M42" i="2"/>
  <c r="P42" i="2" s="1"/>
  <c r="L42" i="2"/>
  <c r="P36" i="2"/>
  <c r="O36" i="2"/>
  <c r="P35" i="2"/>
  <c r="O35" i="2"/>
  <c r="M34" i="2"/>
  <c r="P34" i="2" s="1"/>
  <c r="M33" i="2"/>
  <c r="P33" i="2" s="1"/>
  <c r="M32" i="2"/>
  <c r="M30" i="2" s="1"/>
  <c r="P30" i="2" s="1"/>
  <c r="P31" i="2"/>
  <c r="M31" i="2"/>
  <c r="P29" i="2"/>
  <c r="M29" i="2"/>
  <c r="M26" i="2"/>
  <c r="P26" i="2" s="1"/>
  <c r="N25" i="2"/>
  <c r="M25" i="2"/>
  <c r="M15" i="2" s="1"/>
  <c r="P15" i="2" s="1"/>
  <c r="L25" i="2"/>
  <c r="O25" i="2" s="1"/>
  <c r="N24" i="2"/>
  <c r="M24" i="2"/>
  <c r="P24" i="2" s="1"/>
  <c r="N23" i="2"/>
  <c r="M23" i="2"/>
  <c r="N21" i="2"/>
  <c r="M21" i="2"/>
  <c r="L21" i="2"/>
  <c r="L19" i="2" s="1"/>
  <c r="O19" i="2" s="1"/>
  <c r="P16" i="2"/>
  <c r="M16" i="2"/>
  <c r="N15" i="2"/>
  <c r="L15" i="2"/>
  <c r="O15" i="2" s="1"/>
  <c r="O639" i="1"/>
  <c r="O637" i="1"/>
  <c r="I548" i="1"/>
  <c r="K548" i="1" s="1"/>
  <c r="I365" i="1"/>
  <c r="K365" i="1" s="1"/>
  <c r="L336" i="1"/>
  <c r="N332" i="1"/>
  <c r="M332" i="1"/>
  <c r="L332" i="1"/>
  <c r="O332" i="1" s="1"/>
  <c r="L330" i="1"/>
  <c r="O330" i="1" s="1"/>
  <c r="L317" i="1"/>
  <c r="N313" i="1"/>
  <c r="M313" i="1"/>
  <c r="L313" i="1"/>
  <c r="O313" i="1" s="1"/>
  <c r="N311" i="1"/>
  <c r="L311" i="1"/>
  <c r="O311" i="1" s="1"/>
  <c r="J307" i="1"/>
  <c r="L297" i="1"/>
  <c r="O293" i="1"/>
  <c r="N293" i="1"/>
  <c r="M293" i="1"/>
  <c r="L293" i="1"/>
  <c r="O291" i="1"/>
  <c r="N291" i="1"/>
  <c r="L291" i="1"/>
  <c r="L278" i="1"/>
  <c r="O274" i="1"/>
  <c r="N274" i="1"/>
  <c r="M274" i="1"/>
  <c r="L274" i="1"/>
  <c r="N272" i="1"/>
  <c r="L257" i="1"/>
  <c r="N253" i="1"/>
  <c r="M253" i="1"/>
  <c r="L253" i="1"/>
  <c r="O253" i="1" s="1"/>
  <c r="N251" i="1"/>
  <c r="J240" i="1"/>
  <c r="L227" i="1"/>
  <c r="N223" i="1"/>
  <c r="M223" i="1"/>
  <c r="L223" i="1"/>
  <c r="O223" i="1" s="1"/>
  <c r="N221" i="1"/>
  <c r="M221" i="1"/>
  <c r="P221" i="1" s="1"/>
  <c r="J214" i="1"/>
  <c r="I214" i="1"/>
  <c r="J198" i="1"/>
  <c r="L147" i="1"/>
  <c r="N143" i="1"/>
  <c r="N21" i="1" s="1"/>
  <c r="M143" i="1"/>
  <c r="L143" i="1"/>
  <c r="O143" i="1" s="1"/>
  <c r="P141" i="1"/>
  <c r="M141" i="1"/>
  <c r="L141" i="1"/>
  <c r="O141" i="1" s="1"/>
  <c r="L125" i="1"/>
  <c r="O121" i="1"/>
  <c r="N121" i="1"/>
  <c r="M121" i="1"/>
  <c r="L121" i="1"/>
  <c r="N119" i="1"/>
  <c r="M119" i="1"/>
  <c r="P119" i="1" s="1"/>
  <c r="L101" i="1"/>
  <c r="N97" i="1"/>
  <c r="M97" i="1"/>
  <c r="L97" i="1"/>
  <c r="O97" i="1" s="1"/>
  <c r="L95" i="1"/>
  <c r="O95" i="1" s="1"/>
  <c r="L73" i="1"/>
  <c r="N69" i="1"/>
  <c r="M69" i="1"/>
  <c r="L69" i="1"/>
  <c r="O69" i="1" s="1"/>
  <c r="L67" i="1"/>
  <c r="O67" i="1" s="1"/>
  <c r="L60" i="1"/>
  <c r="L56" i="1"/>
  <c r="N54" i="1"/>
  <c r="M54" i="1"/>
  <c r="P54" i="1" s="1"/>
  <c r="L48" i="1"/>
  <c r="L25" i="1" s="1"/>
  <c r="L44" i="1"/>
  <c r="L42" i="1" s="1"/>
  <c r="O42" i="1" s="1"/>
  <c r="N42" i="1"/>
  <c r="M42" i="1"/>
  <c r="P36" i="1"/>
  <c r="O36" i="1"/>
  <c r="P35" i="1"/>
  <c r="O35" i="1"/>
  <c r="M34" i="1"/>
  <c r="P34" i="1" s="1"/>
  <c r="M33" i="1"/>
  <c r="P33" i="1" s="1"/>
  <c r="M32" i="1"/>
  <c r="P32" i="1" s="1"/>
  <c r="M31" i="1"/>
  <c r="M29" i="1" s="1"/>
  <c r="N25" i="1"/>
  <c r="N15" i="1" s="1"/>
  <c r="M25" i="1"/>
  <c r="P25" i="1" s="1"/>
  <c r="P24" i="1"/>
  <c r="N24" i="1"/>
  <c r="M24" i="1"/>
  <c r="N23" i="1"/>
  <c r="M23" i="1"/>
  <c r="P23" i="1" s="1"/>
  <c r="M14" i="1"/>
  <c r="P14" i="1" s="1"/>
  <c r="K591" i="14" l="1"/>
  <c r="K628" i="14"/>
  <c r="K64" i="16"/>
  <c r="P70" i="16"/>
  <c r="J651" i="18"/>
  <c r="K429" i="14"/>
  <c r="O437" i="14"/>
  <c r="K455" i="14"/>
  <c r="O535" i="14"/>
  <c r="K573" i="14"/>
  <c r="N55" i="16"/>
  <c r="N53" i="16" s="1"/>
  <c r="K591" i="18"/>
  <c r="K619" i="18"/>
  <c r="O383" i="14"/>
  <c r="O401" i="14"/>
  <c r="K426" i="14"/>
  <c r="K435" i="14"/>
  <c r="O455" i="14"/>
  <c r="K663" i="15"/>
  <c r="K668" i="15"/>
  <c r="L45" i="16"/>
  <c r="L43" i="16" s="1"/>
  <c r="K65" i="16"/>
  <c r="K396" i="16"/>
  <c r="K417" i="16"/>
  <c r="K421" i="16"/>
  <c r="K429" i="16"/>
  <c r="K455" i="16"/>
  <c r="K464" i="16"/>
  <c r="N55" i="17"/>
  <c r="N53" i="17" s="1"/>
  <c r="K466" i="4"/>
  <c r="K499" i="14"/>
  <c r="O580" i="14"/>
  <c r="K398" i="16"/>
  <c r="K402" i="16"/>
  <c r="K423" i="16"/>
  <c r="K431" i="16"/>
  <c r="O406" i="17"/>
  <c r="K419" i="17"/>
  <c r="O535" i="7"/>
  <c r="K564" i="7"/>
  <c r="K431" i="17"/>
  <c r="O435" i="17"/>
  <c r="O533" i="17"/>
  <c r="K560" i="17"/>
  <c r="N292" i="16"/>
  <c r="N290" i="16" s="1"/>
  <c r="K375" i="8"/>
  <c r="O383" i="8"/>
  <c r="L57" i="15"/>
  <c r="O57" i="15" s="1"/>
  <c r="K375" i="15"/>
  <c r="K481" i="15"/>
  <c r="K368" i="12"/>
  <c r="K376" i="12"/>
  <c r="K419" i="12"/>
  <c r="K423" i="12"/>
  <c r="K427" i="12"/>
  <c r="K431" i="12"/>
  <c r="N252" i="16"/>
  <c r="I367" i="13"/>
  <c r="K367" i="13" s="1"/>
  <c r="O49" i="4"/>
  <c r="N222" i="11"/>
  <c r="P222" i="11" s="1"/>
  <c r="K426" i="9"/>
  <c r="O564" i="15"/>
  <c r="L70" i="5"/>
  <c r="O70" i="5" s="1"/>
  <c r="O406" i="7"/>
  <c r="K597" i="7"/>
  <c r="O352" i="11"/>
  <c r="L459" i="1"/>
  <c r="L98" i="7"/>
  <c r="O98" i="7" s="1"/>
  <c r="K108" i="7"/>
  <c r="K112" i="7"/>
  <c r="L275" i="15"/>
  <c r="L273" i="15" s="1"/>
  <c r="N292" i="11"/>
  <c r="N290" i="11" s="1"/>
  <c r="K564" i="3"/>
  <c r="K573" i="3"/>
  <c r="K81" i="15"/>
  <c r="O568" i="15"/>
  <c r="O599" i="3"/>
  <c r="K65" i="8"/>
  <c r="O455" i="8"/>
  <c r="K597" i="4"/>
  <c r="J90" i="1"/>
  <c r="N120" i="8"/>
  <c r="K668" i="9"/>
  <c r="N96" i="11"/>
  <c r="N94" i="11" s="1"/>
  <c r="N120" i="12"/>
  <c r="P120" i="12" s="1"/>
  <c r="J282" i="1"/>
  <c r="J421" i="1"/>
  <c r="J447" i="1"/>
  <c r="K108" i="8"/>
  <c r="K401" i="10"/>
  <c r="K417" i="10"/>
  <c r="K381" i="5"/>
  <c r="K547" i="5"/>
  <c r="L224" i="9"/>
  <c r="K614" i="11"/>
  <c r="K455" i="12"/>
  <c r="K595" i="13"/>
  <c r="I422" i="1"/>
  <c r="I426" i="1"/>
  <c r="I430" i="1"/>
  <c r="I435" i="1"/>
  <c r="L455" i="1"/>
  <c r="I465" i="1"/>
  <c r="I473" i="1"/>
  <c r="I533" i="1"/>
  <c r="L599" i="1"/>
  <c r="J204" i="1"/>
  <c r="K418" i="2"/>
  <c r="I199" i="1"/>
  <c r="J367" i="1"/>
  <c r="J397" i="1"/>
  <c r="I328" i="1"/>
  <c r="J484" i="1"/>
  <c r="J500" i="1"/>
  <c r="N581" i="1"/>
  <c r="N586" i="1"/>
  <c r="J591" i="1"/>
  <c r="N603" i="1"/>
  <c r="J619" i="1"/>
  <c r="L226" i="1"/>
  <c r="J661" i="1"/>
  <c r="O74" i="10"/>
  <c r="N120" i="10"/>
  <c r="N118" i="10" s="1"/>
  <c r="J499" i="1"/>
  <c r="J577" i="1"/>
  <c r="K164" i="7"/>
  <c r="K597" i="12"/>
  <c r="K372" i="13"/>
  <c r="O533" i="13"/>
  <c r="K112" i="14"/>
  <c r="L224" i="14"/>
  <c r="O224" i="14" s="1"/>
  <c r="P122" i="15"/>
  <c r="K345" i="18"/>
  <c r="I158" i="1"/>
  <c r="N292" i="3"/>
  <c r="N290" i="3" s="1"/>
  <c r="N292" i="10"/>
  <c r="N290" i="10" s="1"/>
  <c r="N142" i="3"/>
  <c r="N140" i="3" s="1"/>
  <c r="K219" i="3"/>
  <c r="P224" i="3"/>
  <c r="N68" i="5"/>
  <c r="N66" i="5" s="1"/>
  <c r="K200" i="5"/>
  <c r="K427" i="5"/>
  <c r="K420" i="6"/>
  <c r="K424" i="6"/>
  <c r="K428" i="6"/>
  <c r="N68" i="7"/>
  <c r="N66" i="7" s="1"/>
  <c r="N292" i="9"/>
  <c r="N290" i="9" s="1"/>
  <c r="N331" i="9"/>
  <c r="N329" i="9" s="1"/>
  <c r="K424" i="11"/>
  <c r="O457" i="11"/>
  <c r="O597" i="11"/>
  <c r="O601" i="11"/>
  <c r="K631" i="11"/>
  <c r="K635" i="11"/>
  <c r="O566" i="12"/>
  <c r="L314" i="13"/>
  <c r="O314" i="13" s="1"/>
  <c r="O580" i="13"/>
  <c r="O584" i="13"/>
  <c r="P333" i="14"/>
  <c r="L102" i="1"/>
  <c r="I371" i="1"/>
  <c r="K371" i="1" s="1"/>
  <c r="L144" i="3"/>
  <c r="O144" i="3" s="1"/>
  <c r="J597" i="1"/>
  <c r="K593" i="8"/>
  <c r="L354" i="1"/>
  <c r="N435" i="1"/>
  <c r="J244" i="1"/>
  <c r="O439" i="10"/>
  <c r="K117" i="11"/>
  <c r="K340" i="11"/>
  <c r="L98" i="13"/>
  <c r="O98" i="13" s="1"/>
  <c r="K473" i="14"/>
  <c r="K416" i="18"/>
  <c r="J309" i="1"/>
  <c r="L258" i="1"/>
  <c r="O258" i="1" s="1"/>
  <c r="N61" i="1"/>
  <c r="J110" i="1"/>
  <c r="J372" i="1"/>
  <c r="J392" i="1"/>
  <c r="J423" i="1"/>
  <c r="N43" i="5"/>
  <c r="N41" i="5" s="1"/>
  <c r="N98" i="1"/>
  <c r="K591" i="5"/>
  <c r="K418" i="6"/>
  <c r="O649" i="6"/>
  <c r="K547" i="7"/>
  <c r="O597" i="7"/>
  <c r="O601" i="7"/>
  <c r="L33" i="8"/>
  <c r="O33" i="8" s="1"/>
  <c r="K420" i="9"/>
  <c r="K424" i="9"/>
  <c r="K428" i="9"/>
  <c r="K432" i="9"/>
  <c r="K630" i="9"/>
  <c r="K634" i="9"/>
  <c r="K416" i="10"/>
  <c r="K420" i="10"/>
  <c r="K422" i="11"/>
  <c r="K465" i="11"/>
  <c r="O383" i="12"/>
  <c r="K397" i="12"/>
  <c r="O401" i="12"/>
  <c r="K422" i="12"/>
  <c r="O455" i="12"/>
  <c r="K481" i="12"/>
  <c r="K629" i="12"/>
  <c r="K398" i="14"/>
  <c r="K423" i="14"/>
  <c r="K431" i="14"/>
  <c r="O435" i="14"/>
  <c r="O439" i="14"/>
  <c r="K630" i="14"/>
  <c r="O74" i="16"/>
  <c r="K81" i="16"/>
  <c r="K85" i="16"/>
  <c r="K397" i="16"/>
  <c r="L224" i="17"/>
  <c r="O224" i="17" s="1"/>
  <c r="K249" i="17"/>
  <c r="K264" i="17"/>
  <c r="K266" i="18"/>
  <c r="K324" i="18"/>
  <c r="J231" i="1"/>
  <c r="I340" i="1"/>
  <c r="K618" i="3"/>
  <c r="N460" i="1"/>
  <c r="J77" i="1"/>
  <c r="J92" i="1"/>
  <c r="J107" i="1"/>
  <c r="J111" i="1"/>
  <c r="L144" i="7"/>
  <c r="J174" i="1"/>
  <c r="K614" i="7"/>
  <c r="L122" i="8"/>
  <c r="L120" i="8" s="1"/>
  <c r="N298" i="1"/>
  <c r="J149" i="1"/>
  <c r="J171" i="1"/>
  <c r="J187" i="1"/>
  <c r="K345" i="17"/>
  <c r="N70" i="1"/>
  <c r="J79" i="1"/>
  <c r="J83" i="1"/>
  <c r="J87" i="1"/>
  <c r="J93" i="1"/>
  <c r="L124" i="1"/>
  <c r="J233" i="1"/>
  <c r="J324" i="1"/>
  <c r="J339" i="1"/>
  <c r="N347" i="1"/>
  <c r="N351" i="1"/>
  <c r="N356" i="1"/>
  <c r="I374" i="1"/>
  <c r="J378" i="1"/>
  <c r="N386" i="1"/>
  <c r="N442" i="1"/>
  <c r="I450" i="1"/>
  <c r="I524" i="1"/>
  <c r="N584" i="1"/>
  <c r="J590" i="1"/>
  <c r="K149" i="3"/>
  <c r="J232" i="1"/>
  <c r="I418" i="1"/>
  <c r="K189" i="4"/>
  <c r="K200" i="4"/>
  <c r="I216" i="1"/>
  <c r="L314" i="4"/>
  <c r="O314" i="4" s="1"/>
  <c r="I113" i="1"/>
  <c r="J172" i="1"/>
  <c r="N383" i="1"/>
  <c r="N405" i="1"/>
  <c r="J465" i="1"/>
  <c r="J579" i="1"/>
  <c r="N142" i="6"/>
  <c r="N140" i="6" s="1"/>
  <c r="K370" i="7"/>
  <c r="K617" i="8"/>
  <c r="O535" i="10"/>
  <c r="K110" i="12"/>
  <c r="K397" i="18"/>
  <c r="K422" i="18"/>
  <c r="K426" i="18"/>
  <c r="K430" i="18"/>
  <c r="K435" i="18"/>
  <c r="O455" i="18"/>
  <c r="O459" i="18"/>
  <c r="O582" i="18"/>
  <c r="K629" i="18"/>
  <c r="K633" i="18"/>
  <c r="L71" i="1"/>
  <c r="L100" i="1"/>
  <c r="J108" i="1"/>
  <c r="J112" i="1"/>
  <c r="J159" i="1"/>
  <c r="J170" i="1"/>
  <c r="J176" i="1"/>
  <c r="J186" i="1"/>
  <c r="J203" i="1"/>
  <c r="J219" i="1"/>
  <c r="J241" i="1"/>
  <c r="J249" i="1"/>
  <c r="L352" i="1"/>
  <c r="N357" i="1"/>
  <c r="N387" i="1"/>
  <c r="N410" i="1"/>
  <c r="J434" i="1"/>
  <c r="N437" i="1"/>
  <c r="N443" i="1"/>
  <c r="J450" i="1"/>
  <c r="J472" i="1"/>
  <c r="J480" i="1"/>
  <c r="J492" i="1"/>
  <c r="J496" i="1"/>
  <c r="J504" i="1"/>
  <c r="J548" i="1"/>
  <c r="J564" i="1"/>
  <c r="N567" i="1"/>
  <c r="J573" i="1"/>
  <c r="N648" i="1"/>
  <c r="N45" i="1"/>
  <c r="I497" i="1"/>
  <c r="I525" i="1"/>
  <c r="K622" i="3"/>
  <c r="J81" i="1"/>
  <c r="N273" i="13"/>
  <c r="P273" i="13" s="1"/>
  <c r="N292" i="13"/>
  <c r="N290" i="13" s="1"/>
  <c r="I484" i="1"/>
  <c r="K484" i="1" s="1"/>
  <c r="K368" i="3"/>
  <c r="K372" i="3"/>
  <c r="K419" i="3"/>
  <c r="K423" i="3"/>
  <c r="K431" i="3"/>
  <c r="J400" i="1"/>
  <c r="N403" i="1"/>
  <c r="J432" i="1"/>
  <c r="J503" i="1"/>
  <c r="J515" i="1"/>
  <c r="N539" i="1"/>
  <c r="J561" i="1"/>
  <c r="N566" i="1"/>
  <c r="J671" i="5"/>
  <c r="N96" i="6"/>
  <c r="N94" i="6" s="1"/>
  <c r="L122" i="6"/>
  <c r="L120" i="6" s="1"/>
  <c r="K618" i="6"/>
  <c r="K663" i="6"/>
  <c r="K80" i="7"/>
  <c r="L45" i="8"/>
  <c r="L43" i="8" s="1"/>
  <c r="L41" i="8" s="1"/>
  <c r="N55" i="8"/>
  <c r="N53" i="8" s="1"/>
  <c r="J671" i="10"/>
  <c r="K85" i="11"/>
  <c r="K229" i="11"/>
  <c r="L314" i="11"/>
  <c r="O314" i="11" s="1"/>
  <c r="K343" i="11"/>
  <c r="N96" i="13"/>
  <c r="N94" i="13" s="1"/>
  <c r="N252" i="15"/>
  <c r="N250" i="15" s="1"/>
  <c r="O385" i="15"/>
  <c r="K420" i="15"/>
  <c r="K424" i="15"/>
  <c r="K432" i="15"/>
  <c r="K449" i="15"/>
  <c r="L438" i="1"/>
  <c r="O438" i="1" s="1"/>
  <c r="J371" i="1"/>
  <c r="J375" i="1"/>
  <c r="N401" i="1"/>
  <c r="J426" i="1"/>
  <c r="N438" i="1"/>
  <c r="J446" i="1"/>
  <c r="N455" i="1"/>
  <c r="N459" i="1"/>
  <c r="N559" i="1"/>
  <c r="J615" i="1"/>
  <c r="J628" i="1"/>
  <c r="J164" i="1"/>
  <c r="J175" i="1"/>
  <c r="J671" i="9"/>
  <c r="I521" i="1"/>
  <c r="K622" i="16"/>
  <c r="L275" i="18"/>
  <c r="O275" i="18" s="1"/>
  <c r="N538" i="1"/>
  <c r="N314" i="1"/>
  <c r="J427" i="1"/>
  <c r="J666" i="1"/>
  <c r="J78" i="1"/>
  <c r="L72" i="1"/>
  <c r="I265" i="1"/>
  <c r="N57" i="1"/>
  <c r="K421" i="2"/>
  <c r="J594" i="1"/>
  <c r="N142" i="5"/>
  <c r="N140" i="5" s="1"/>
  <c r="P333" i="7"/>
  <c r="K340" i="7"/>
  <c r="K416" i="7"/>
  <c r="K420" i="7"/>
  <c r="K424" i="7"/>
  <c r="K428" i="7"/>
  <c r="K432" i="7"/>
  <c r="K432" i="10"/>
  <c r="N120" i="13"/>
  <c r="N118" i="13" s="1"/>
  <c r="P98" i="14"/>
  <c r="K132" i="15"/>
  <c r="J399" i="1"/>
  <c r="J415" i="1"/>
  <c r="J301" i="1"/>
  <c r="I204" i="1"/>
  <c r="J65" i="1"/>
  <c r="K429" i="2"/>
  <c r="N597" i="1"/>
  <c r="I349" i="1"/>
  <c r="I488" i="1"/>
  <c r="K488" i="1" s="1"/>
  <c r="I501" i="1"/>
  <c r="K501" i="1" s="1"/>
  <c r="I235" i="1"/>
  <c r="J242" i="1"/>
  <c r="L254" i="2"/>
  <c r="O254" i="2" s="1"/>
  <c r="J264" i="1"/>
  <c r="J283" i="1"/>
  <c r="N318" i="1"/>
  <c r="J326" i="1"/>
  <c r="N333" i="1"/>
  <c r="N388" i="1"/>
  <c r="K397" i="2"/>
  <c r="K649" i="4"/>
  <c r="J302" i="1"/>
  <c r="I516" i="1"/>
  <c r="I528" i="1"/>
  <c r="K267" i="8"/>
  <c r="K421" i="8"/>
  <c r="K429" i="8"/>
  <c r="L255" i="1"/>
  <c r="J268" i="1"/>
  <c r="L294" i="9"/>
  <c r="O294" i="9" s="1"/>
  <c r="J304" i="1"/>
  <c r="L314" i="10"/>
  <c r="O314" i="10" s="1"/>
  <c r="J453" i="1"/>
  <c r="N665" i="1"/>
  <c r="J470" i="1"/>
  <c r="I522" i="1"/>
  <c r="K158" i="16"/>
  <c r="I619" i="1"/>
  <c r="J502" i="1"/>
  <c r="J261" i="1"/>
  <c r="J617" i="1"/>
  <c r="I489" i="1"/>
  <c r="K489" i="1" s="1"/>
  <c r="J154" i="1"/>
  <c r="J182" i="1"/>
  <c r="L649" i="1"/>
  <c r="P70" i="6"/>
  <c r="K266" i="12"/>
  <c r="K343" i="12"/>
  <c r="O601" i="13"/>
  <c r="L294" i="16"/>
  <c r="L292" i="16" s="1"/>
  <c r="O292" i="16" s="1"/>
  <c r="O535" i="16"/>
  <c r="K591" i="16"/>
  <c r="K595" i="16"/>
  <c r="K663" i="16"/>
  <c r="K663" i="17"/>
  <c r="J478" i="1"/>
  <c r="J237" i="1"/>
  <c r="J452" i="1"/>
  <c r="L47" i="1"/>
  <c r="M144" i="1"/>
  <c r="J161" i="1"/>
  <c r="L405" i="1"/>
  <c r="O405" i="1" s="1"/>
  <c r="I476" i="1"/>
  <c r="K476" i="1" s="1"/>
  <c r="I492" i="1"/>
  <c r="K492" i="1" s="1"/>
  <c r="K235" i="3"/>
  <c r="N312" i="4"/>
  <c r="N310" i="4" s="1"/>
  <c r="L294" i="5"/>
  <c r="O294" i="5" s="1"/>
  <c r="K424" i="5"/>
  <c r="N68" i="6"/>
  <c r="N66" i="6" s="1"/>
  <c r="K349" i="9"/>
  <c r="O437" i="9"/>
  <c r="K219" i="11"/>
  <c r="N222" i="12"/>
  <c r="N220" i="12" s="1"/>
  <c r="K429" i="13"/>
  <c r="I367" i="18"/>
  <c r="K367" i="18" s="1"/>
  <c r="N337" i="1"/>
  <c r="I138" i="1"/>
  <c r="L148" i="1"/>
  <c r="J675" i="1"/>
  <c r="K611" i="6"/>
  <c r="K649" i="6"/>
  <c r="K81" i="7"/>
  <c r="N55" i="10"/>
  <c r="N53" i="10" s="1"/>
  <c r="J651" i="10"/>
  <c r="K267" i="12"/>
  <c r="L45" i="14"/>
  <c r="O45" i="14" s="1"/>
  <c r="N55" i="14"/>
  <c r="N53" i="14" s="1"/>
  <c r="N331" i="15"/>
  <c r="N329" i="15" s="1"/>
  <c r="K629" i="15"/>
  <c r="K465" i="16"/>
  <c r="K497" i="16"/>
  <c r="K628" i="17"/>
  <c r="K199" i="18"/>
  <c r="J266" i="1"/>
  <c r="J346" i="1"/>
  <c r="N380" i="1"/>
  <c r="J448" i="1"/>
  <c r="J613" i="1"/>
  <c r="L123" i="1"/>
  <c r="I215" i="1"/>
  <c r="I478" i="1"/>
  <c r="K478" i="1" s="1"/>
  <c r="I596" i="1"/>
  <c r="K596" i="1" s="1"/>
  <c r="K133" i="5"/>
  <c r="N312" i="7"/>
  <c r="N310" i="7" s="1"/>
  <c r="K474" i="8"/>
  <c r="O564" i="8"/>
  <c r="O401" i="13"/>
  <c r="K435" i="13"/>
  <c r="O459" i="13"/>
  <c r="P70" i="17"/>
  <c r="J189" i="1"/>
  <c r="J363" i="1"/>
  <c r="N439" i="1"/>
  <c r="L99" i="1"/>
  <c r="I477" i="1"/>
  <c r="K477" i="1" s="1"/>
  <c r="I496" i="1"/>
  <c r="K496" i="1" s="1"/>
  <c r="I480" i="1"/>
  <c r="K480" i="1" s="1"/>
  <c r="J195" i="1"/>
  <c r="N294" i="1"/>
  <c r="J369" i="1"/>
  <c r="J373" i="1"/>
  <c r="J377" i="1"/>
  <c r="J394" i="1"/>
  <c r="J495" i="1"/>
  <c r="J507" i="1"/>
  <c r="J511" i="1"/>
  <c r="J519" i="1"/>
  <c r="J523" i="1"/>
  <c r="N555" i="1"/>
  <c r="K370" i="3"/>
  <c r="L294" i="4"/>
  <c r="L292" i="4" s="1"/>
  <c r="O385" i="4"/>
  <c r="K416" i="4"/>
  <c r="K420" i="4"/>
  <c r="K428" i="4"/>
  <c r="K449" i="4"/>
  <c r="O551" i="4"/>
  <c r="O584" i="4"/>
  <c r="O597" i="4"/>
  <c r="O601" i="4"/>
  <c r="K422" i="5"/>
  <c r="K426" i="5"/>
  <c r="K533" i="5"/>
  <c r="O599" i="5"/>
  <c r="K629" i="5"/>
  <c r="K85" i="6"/>
  <c r="O439" i="7"/>
  <c r="K138" i="8"/>
  <c r="N142" i="10"/>
  <c r="N140" i="10" s="1"/>
  <c r="K200" i="10"/>
  <c r="K402" i="10"/>
  <c r="O406" i="10"/>
  <c r="O435" i="10"/>
  <c r="K648" i="11"/>
  <c r="N55" i="13"/>
  <c r="N53" i="13" s="1"/>
  <c r="K481" i="13"/>
  <c r="K465" i="14"/>
  <c r="K173" i="18"/>
  <c r="I83" i="1"/>
  <c r="J229" i="1"/>
  <c r="L298" i="1"/>
  <c r="O298" i="1" s="1"/>
  <c r="K369" i="9"/>
  <c r="I367" i="9"/>
  <c r="K367" i="9" s="1"/>
  <c r="I86" i="1"/>
  <c r="I213" i="1"/>
  <c r="I264" i="1"/>
  <c r="I397" i="1"/>
  <c r="I504" i="1"/>
  <c r="K504" i="1" s="1"/>
  <c r="L61" i="1"/>
  <c r="O61" i="1" s="1"/>
  <c r="I87" i="1"/>
  <c r="M122" i="1"/>
  <c r="I346" i="1"/>
  <c r="K346" i="1" s="1"/>
  <c r="I508" i="1"/>
  <c r="K508" i="1" s="1"/>
  <c r="K173" i="2"/>
  <c r="J184" i="1"/>
  <c r="J210" i="1"/>
  <c r="N222" i="13"/>
  <c r="N220" i="13" s="1"/>
  <c r="I512" i="1"/>
  <c r="K512" i="1" s="1"/>
  <c r="P294" i="5"/>
  <c r="M292" i="5"/>
  <c r="P292" i="5" s="1"/>
  <c r="M224" i="1"/>
  <c r="L382" i="1"/>
  <c r="O382" i="1" s="1"/>
  <c r="I500" i="1"/>
  <c r="K500" i="1" s="1"/>
  <c r="L536" i="1"/>
  <c r="O536" i="1" s="1"/>
  <c r="I592" i="1"/>
  <c r="K592" i="1" s="1"/>
  <c r="N407" i="1"/>
  <c r="I416" i="1"/>
  <c r="I420" i="1"/>
  <c r="I424" i="1"/>
  <c r="I428" i="1"/>
  <c r="I110" i="1"/>
  <c r="I92" i="1"/>
  <c r="L256" i="1"/>
  <c r="L296" i="1"/>
  <c r="I671" i="1"/>
  <c r="J287" i="1"/>
  <c r="L314" i="2"/>
  <c r="O314" i="2" s="1"/>
  <c r="I324" i="1"/>
  <c r="J364" i="1"/>
  <c r="J343" i="1"/>
  <c r="J527" i="1"/>
  <c r="J531" i="1"/>
  <c r="N534" i="1"/>
  <c r="J547" i="1"/>
  <c r="N551" i="1"/>
  <c r="J608" i="1"/>
  <c r="J625" i="1"/>
  <c r="J630" i="1"/>
  <c r="J648" i="1"/>
  <c r="J655" i="1"/>
  <c r="N661" i="1"/>
  <c r="I381" i="1"/>
  <c r="J393" i="1"/>
  <c r="J466" i="1"/>
  <c r="N540" i="1"/>
  <c r="N556" i="1"/>
  <c r="I595" i="1"/>
  <c r="I615" i="1"/>
  <c r="I623" i="1"/>
  <c r="I628" i="1"/>
  <c r="I632" i="1"/>
  <c r="N650" i="1"/>
  <c r="J651" i="3"/>
  <c r="J80" i="1"/>
  <c r="N102" i="1"/>
  <c r="J113" i="1"/>
  <c r="J128" i="1"/>
  <c r="J134" i="1"/>
  <c r="K149" i="4"/>
  <c r="J129" i="1"/>
  <c r="J155" i="1"/>
  <c r="J162" i="1"/>
  <c r="I173" i="1"/>
  <c r="J209" i="1"/>
  <c r="N228" i="1"/>
  <c r="N258" i="1"/>
  <c r="J270" i="1"/>
  <c r="L277" i="1"/>
  <c r="J322" i="1"/>
  <c r="J379" i="1"/>
  <c r="N382" i="1"/>
  <c r="I401" i="1"/>
  <c r="L404" i="1"/>
  <c r="N409" i="1"/>
  <c r="J420" i="1"/>
  <c r="J428" i="1"/>
  <c r="N436" i="1"/>
  <c r="N441" i="1"/>
  <c r="J449" i="1"/>
  <c r="J454" i="1"/>
  <c r="N457" i="1"/>
  <c r="N463" i="1"/>
  <c r="J471" i="1"/>
  <c r="N292" i="6"/>
  <c r="N290" i="6" s="1"/>
  <c r="L314" i="6"/>
  <c r="O314" i="6" s="1"/>
  <c r="J320" i="1"/>
  <c r="N408" i="1"/>
  <c r="K113" i="8"/>
  <c r="J497" i="1"/>
  <c r="K497" i="1" s="1"/>
  <c r="N651" i="1"/>
  <c r="N668" i="1"/>
  <c r="J482" i="1"/>
  <c r="N142" i="13"/>
  <c r="N140" i="13" s="1"/>
  <c r="L146" i="1"/>
  <c r="I164" i="1"/>
  <c r="J217" i="1"/>
  <c r="I229" i="1"/>
  <c r="J260" i="1"/>
  <c r="J286" i="1"/>
  <c r="N564" i="1"/>
  <c r="N568" i="1"/>
  <c r="J646" i="1"/>
  <c r="K164" i="17"/>
  <c r="K267" i="17"/>
  <c r="K396" i="17"/>
  <c r="K401" i="17"/>
  <c r="L597" i="1"/>
  <c r="L671" i="1"/>
  <c r="O347" i="3"/>
  <c r="K204" i="4"/>
  <c r="K341" i="4"/>
  <c r="K397" i="4"/>
  <c r="O401" i="4"/>
  <c r="K422" i="4"/>
  <c r="K435" i="4"/>
  <c r="K533" i="4"/>
  <c r="O553" i="4"/>
  <c r="O582" i="4"/>
  <c r="J663" i="1"/>
  <c r="K229" i="5"/>
  <c r="K65" i="6"/>
  <c r="K133" i="6"/>
  <c r="N55" i="7"/>
  <c r="P55" i="7" s="1"/>
  <c r="K65" i="7"/>
  <c r="K464" i="7"/>
  <c r="K628" i="8"/>
  <c r="K632" i="8"/>
  <c r="L70" i="9"/>
  <c r="O70" i="9" s="1"/>
  <c r="K372" i="9"/>
  <c r="L254" i="10"/>
  <c r="O254" i="10" s="1"/>
  <c r="K474" i="10"/>
  <c r="L45" i="11"/>
  <c r="L43" i="11" s="1"/>
  <c r="N292" i="12"/>
  <c r="N290" i="12" s="1"/>
  <c r="K450" i="12"/>
  <c r="K499" i="12"/>
  <c r="K497" i="14"/>
  <c r="N55" i="15"/>
  <c r="P55" i="15" s="1"/>
  <c r="K376" i="15"/>
  <c r="O406" i="15"/>
  <c r="K423" i="15"/>
  <c r="K427" i="15"/>
  <c r="O435" i="15"/>
  <c r="K466" i="15"/>
  <c r="K482" i="15"/>
  <c r="K597" i="15"/>
  <c r="K630" i="15"/>
  <c r="O533" i="16"/>
  <c r="K580" i="16"/>
  <c r="K417" i="17"/>
  <c r="O535" i="17"/>
  <c r="K573" i="17"/>
  <c r="N331" i="18"/>
  <c r="N329" i="18" s="1"/>
  <c r="K349" i="18"/>
  <c r="K421" i="18"/>
  <c r="J306" i="1"/>
  <c r="J543" i="1"/>
  <c r="J549" i="1"/>
  <c r="L553" i="1"/>
  <c r="N558" i="1"/>
  <c r="I575" i="1"/>
  <c r="K575" i="1" s="1"/>
  <c r="N254" i="1"/>
  <c r="J263" i="1"/>
  <c r="J289" i="1"/>
  <c r="L295" i="1"/>
  <c r="J325" i="1"/>
  <c r="I506" i="1"/>
  <c r="K506" i="1" s="1"/>
  <c r="J345" i="1"/>
  <c r="N349" i="1"/>
  <c r="N353" i="1"/>
  <c r="I376" i="1"/>
  <c r="J391" i="1"/>
  <c r="I402" i="1"/>
  <c r="L406" i="1"/>
  <c r="I423" i="1"/>
  <c r="I427" i="1"/>
  <c r="L435" i="1"/>
  <c r="O435" i="1" s="1"/>
  <c r="I474" i="1"/>
  <c r="I482" i="1"/>
  <c r="I518" i="1"/>
  <c r="I530" i="1"/>
  <c r="J545" i="1"/>
  <c r="I613" i="1"/>
  <c r="K430" i="5"/>
  <c r="K113" i="6"/>
  <c r="K173" i="7"/>
  <c r="K200" i="7"/>
  <c r="K229" i="7"/>
  <c r="K451" i="7"/>
  <c r="K631" i="7"/>
  <c r="K620" i="9"/>
  <c r="O551" i="10"/>
  <c r="O555" i="10"/>
  <c r="K229" i="13"/>
  <c r="O455" i="13"/>
  <c r="K200" i="14"/>
  <c r="K133" i="15"/>
  <c r="K635" i="15"/>
  <c r="L314" i="16"/>
  <c r="O314" i="16" s="1"/>
  <c r="O661" i="16"/>
  <c r="K92" i="18"/>
  <c r="K110" i="18"/>
  <c r="N273" i="18"/>
  <c r="N271" i="18" s="1"/>
  <c r="J341" i="1"/>
  <c r="J422" i="1"/>
  <c r="J430" i="1"/>
  <c r="K430" i="1" s="1"/>
  <c r="J435" i="1"/>
  <c r="J451" i="1"/>
  <c r="O455" i="2"/>
  <c r="J469" i="1"/>
  <c r="I579" i="1"/>
  <c r="K579" i="1" s="1"/>
  <c r="N587" i="1"/>
  <c r="J632" i="1"/>
  <c r="J649" i="1"/>
  <c r="J659" i="1"/>
  <c r="J673" i="1"/>
  <c r="K92" i="4"/>
  <c r="L122" i="4"/>
  <c r="L120" i="4" s="1"/>
  <c r="L118" i="4" s="1"/>
  <c r="O118" i="4" s="1"/>
  <c r="N292" i="4"/>
  <c r="N290" i="4" s="1"/>
  <c r="O354" i="4"/>
  <c r="K341" i="6"/>
  <c r="P98" i="8"/>
  <c r="O537" i="8"/>
  <c r="K435" i="10"/>
  <c r="K465" i="12"/>
  <c r="K343" i="15"/>
  <c r="O349" i="17"/>
  <c r="N34" i="17"/>
  <c r="N14" i="17" s="1"/>
  <c r="K497" i="17"/>
  <c r="N604" i="1"/>
  <c r="I612" i="1"/>
  <c r="I620" i="1"/>
  <c r="J183" i="1"/>
  <c r="K199" i="3"/>
  <c r="J215" i="1"/>
  <c r="O537" i="3"/>
  <c r="J281" i="1"/>
  <c r="K474" i="5"/>
  <c r="K482" i="5"/>
  <c r="K628" i="7"/>
  <c r="N96" i="10"/>
  <c r="N94" i="10" s="1"/>
  <c r="K631" i="10"/>
  <c r="K186" i="11"/>
  <c r="K249" i="11"/>
  <c r="L254" i="11"/>
  <c r="O254" i="11" s="1"/>
  <c r="K573" i="12"/>
  <c r="N68" i="13"/>
  <c r="N66" i="13" s="1"/>
  <c r="J671" i="14"/>
  <c r="P144" i="15"/>
  <c r="N273" i="15"/>
  <c r="N271" i="15" s="1"/>
  <c r="K350" i="18"/>
  <c r="O354" i="18"/>
  <c r="O380" i="18"/>
  <c r="J474" i="1"/>
  <c r="J616" i="1"/>
  <c r="J624" i="1"/>
  <c r="K624" i="1" s="1"/>
  <c r="J629" i="1"/>
  <c r="J647" i="1"/>
  <c r="J652" i="1"/>
  <c r="N74" i="1"/>
  <c r="J85" i="1"/>
  <c r="J115" i="1"/>
  <c r="N122" i="1"/>
  <c r="J131" i="1"/>
  <c r="J488" i="1"/>
  <c r="O597" i="3"/>
  <c r="O601" i="3"/>
  <c r="K635" i="3"/>
  <c r="L45" i="4"/>
  <c r="O45" i="4" s="1"/>
  <c r="J212" i="1"/>
  <c r="N224" i="1"/>
  <c r="J238" i="1"/>
  <c r="N252" i="4"/>
  <c r="N250" i="4" s="1"/>
  <c r="K92" i="6"/>
  <c r="K189" i="6"/>
  <c r="O354" i="6"/>
  <c r="O380" i="6"/>
  <c r="K498" i="6"/>
  <c r="K634" i="6"/>
  <c r="N68" i="8"/>
  <c r="P68" i="8" s="1"/>
  <c r="K213" i="8"/>
  <c r="O455" i="9"/>
  <c r="O459" i="9"/>
  <c r="N312" i="10"/>
  <c r="N310" i="10" s="1"/>
  <c r="L275" i="12"/>
  <c r="O275" i="12" s="1"/>
  <c r="K350" i="12"/>
  <c r="K450" i="15"/>
  <c r="L254" i="16"/>
  <c r="O254" i="16" s="1"/>
  <c r="N331" i="16"/>
  <c r="N329" i="16" s="1"/>
  <c r="N120" i="17"/>
  <c r="N118" i="17" s="1"/>
  <c r="N331" i="17"/>
  <c r="N329" i="17" s="1"/>
  <c r="K381" i="17"/>
  <c r="I432" i="1"/>
  <c r="N440" i="1"/>
  <c r="I449" i="1"/>
  <c r="L457" i="1"/>
  <c r="I527" i="1"/>
  <c r="I547" i="1"/>
  <c r="L551" i="1"/>
  <c r="L555" i="1"/>
  <c r="O566" i="2"/>
  <c r="N571" i="1"/>
  <c r="J670" i="1"/>
  <c r="J676" i="1"/>
  <c r="K473" i="3"/>
  <c r="N142" i="4"/>
  <c r="N140" i="4" s="1"/>
  <c r="J158" i="1"/>
  <c r="K158" i="1" s="1"/>
  <c r="I176" i="1"/>
  <c r="K186" i="4"/>
  <c r="K219" i="4"/>
  <c r="K564" i="4"/>
  <c r="K632" i="4"/>
  <c r="K564" i="9"/>
  <c r="K663" i="9"/>
  <c r="O568" i="10"/>
  <c r="K265" i="11"/>
  <c r="K111" i="12"/>
  <c r="K111" i="14"/>
  <c r="K219" i="14"/>
  <c r="N222" i="15"/>
  <c r="K633" i="15"/>
  <c r="J671" i="15"/>
  <c r="K671" i="15" s="1"/>
  <c r="N26" i="16"/>
  <c r="N16" i="16" s="1"/>
  <c r="N68" i="17"/>
  <c r="N66" i="17" s="1"/>
  <c r="L122" i="17"/>
  <c r="L120" i="17" s="1"/>
  <c r="K631" i="17"/>
  <c r="K108" i="18"/>
  <c r="K428" i="18"/>
  <c r="O457" i="18"/>
  <c r="L49" i="1"/>
  <c r="I485" i="1"/>
  <c r="K485" i="1" s="1"/>
  <c r="I503" i="1"/>
  <c r="K503" i="1" s="1"/>
  <c r="I513" i="1"/>
  <c r="K513" i="1" s="1"/>
  <c r="I594" i="1"/>
  <c r="K594" i="1" s="1"/>
  <c r="I611" i="1"/>
  <c r="K616" i="1" s="1"/>
  <c r="K424" i="2"/>
  <c r="K428" i="2"/>
  <c r="K432" i="2"/>
  <c r="O457" i="2"/>
  <c r="J467" i="1"/>
  <c r="J475" i="1"/>
  <c r="J487" i="1"/>
  <c r="J491" i="1"/>
  <c r="I577" i="1"/>
  <c r="K577" i="1" s="1"/>
  <c r="L580" i="1"/>
  <c r="L584" i="1"/>
  <c r="N462" i="1"/>
  <c r="K176" i="4"/>
  <c r="O380" i="4"/>
  <c r="N33" i="4"/>
  <c r="N13" i="4" s="1"/>
  <c r="J518" i="1"/>
  <c r="J526" i="1"/>
  <c r="J530" i="1"/>
  <c r="N537" i="1"/>
  <c r="J576" i="1"/>
  <c r="J580" i="1"/>
  <c r="N583" i="1"/>
  <c r="K173" i="5"/>
  <c r="K450" i="6"/>
  <c r="K464" i="6"/>
  <c r="I342" i="1"/>
  <c r="K342" i="1" s="1"/>
  <c r="I479" i="1"/>
  <c r="K479" i="1" s="1"/>
  <c r="I486" i="1"/>
  <c r="K486" i="1" s="1"/>
  <c r="J109" i="1"/>
  <c r="K235" i="2"/>
  <c r="O535" i="2"/>
  <c r="K482" i="3"/>
  <c r="K506" i="3"/>
  <c r="K110" i="4"/>
  <c r="M57" i="1"/>
  <c r="M55" i="1" s="1"/>
  <c r="M53" i="1" s="1"/>
  <c r="L74" i="1"/>
  <c r="I111" i="1"/>
  <c r="I84" i="1"/>
  <c r="I266" i="1"/>
  <c r="I373" i="1"/>
  <c r="K373" i="1" s="1"/>
  <c r="I514" i="1"/>
  <c r="K514" i="1" s="1"/>
  <c r="L583" i="1"/>
  <c r="O583" i="1" s="1"/>
  <c r="N585" i="1"/>
  <c r="L601" i="1"/>
  <c r="J609" i="1"/>
  <c r="I614" i="1"/>
  <c r="I626" i="1"/>
  <c r="I631" i="1"/>
  <c r="I64" i="1"/>
  <c r="J211" i="1"/>
  <c r="L275" i="3"/>
  <c r="O275" i="3" s="1"/>
  <c r="K341" i="3"/>
  <c r="J349" i="1"/>
  <c r="N358" i="1"/>
  <c r="K455" i="3"/>
  <c r="K464" i="3"/>
  <c r="J671" i="3"/>
  <c r="P98" i="4"/>
  <c r="J106" i="1"/>
  <c r="K111" i="4"/>
  <c r="N120" i="4"/>
  <c r="N118" i="4" s="1"/>
  <c r="N55" i="5"/>
  <c r="N53" i="5" s="1"/>
  <c r="L122" i="5"/>
  <c r="O122" i="5" s="1"/>
  <c r="K380" i="6"/>
  <c r="K397" i="6"/>
  <c r="I304" i="1"/>
  <c r="I466" i="1"/>
  <c r="J473" i="1"/>
  <c r="L144" i="2"/>
  <c r="O144" i="2" s="1"/>
  <c r="J163" i="1"/>
  <c r="J236" i="1"/>
  <c r="N273" i="2"/>
  <c r="N271" i="2" s="1"/>
  <c r="N292" i="2"/>
  <c r="K328" i="2"/>
  <c r="N671" i="1"/>
  <c r="I617" i="1"/>
  <c r="I621" i="1"/>
  <c r="I625" i="1"/>
  <c r="I634" i="1"/>
  <c r="N649" i="1"/>
  <c r="I455" i="1"/>
  <c r="N96" i="5"/>
  <c r="N94" i="5" s="1"/>
  <c r="M96" i="10"/>
  <c r="P96" i="10" s="1"/>
  <c r="P98" i="10"/>
  <c r="P314" i="13"/>
  <c r="M312" i="13"/>
  <c r="M310" i="13" s="1"/>
  <c r="P310" i="13" s="1"/>
  <c r="I201" i="1"/>
  <c r="I369" i="1"/>
  <c r="L436" i="1"/>
  <c r="O436" i="1" s="1"/>
  <c r="I573" i="1"/>
  <c r="J157" i="1"/>
  <c r="J194" i="1"/>
  <c r="L380" i="1"/>
  <c r="J477" i="1"/>
  <c r="J481" i="1"/>
  <c r="J485" i="1"/>
  <c r="J489" i="1"/>
  <c r="J493" i="1"/>
  <c r="J501" i="1"/>
  <c r="J505" i="1"/>
  <c r="J509" i="1"/>
  <c r="J513" i="1"/>
  <c r="J517" i="1"/>
  <c r="J521" i="1"/>
  <c r="J525" i="1"/>
  <c r="J529" i="1"/>
  <c r="J533" i="1"/>
  <c r="N536" i="1"/>
  <c r="N553" i="1"/>
  <c r="K619" i="2"/>
  <c r="J668" i="1"/>
  <c r="K109" i="3"/>
  <c r="K113" i="3"/>
  <c r="O455" i="3"/>
  <c r="O459" i="3"/>
  <c r="I519" i="1"/>
  <c r="I531" i="1"/>
  <c r="J546" i="1"/>
  <c r="N554" i="1"/>
  <c r="N43" i="4"/>
  <c r="N41" i="4" s="1"/>
  <c r="L98" i="4"/>
  <c r="L144" i="4"/>
  <c r="O144" i="4" s="1"/>
  <c r="N331" i="4"/>
  <c r="N329" i="4" s="1"/>
  <c r="K349" i="4"/>
  <c r="K265" i="6"/>
  <c r="L275" i="6"/>
  <c r="O275" i="6" s="1"/>
  <c r="K285" i="6"/>
  <c r="J321" i="1"/>
  <c r="J328" i="1"/>
  <c r="N292" i="7"/>
  <c r="N290" i="7" s="1"/>
  <c r="P98" i="15"/>
  <c r="M96" i="15"/>
  <c r="P96" i="15" s="1"/>
  <c r="I80" i="1"/>
  <c r="N144" i="1"/>
  <c r="I185" i="1"/>
  <c r="M254" i="1"/>
  <c r="L279" i="1"/>
  <c r="O279" i="1" s="1"/>
  <c r="I306" i="1"/>
  <c r="I452" i="1"/>
  <c r="K452" i="1" s="1"/>
  <c r="I467" i="1"/>
  <c r="K467" i="1" s="1"/>
  <c r="I509" i="1"/>
  <c r="K509" i="1" s="1"/>
  <c r="L554" i="1"/>
  <c r="O554" i="1" s="1"/>
  <c r="I590" i="1"/>
  <c r="K590" i="1" s="1"/>
  <c r="L598" i="1"/>
  <c r="O598" i="1" s="1"/>
  <c r="J414" i="1"/>
  <c r="N588" i="1"/>
  <c r="M337" i="6"/>
  <c r="M331" i="6" s="1"/>
  <c r="M329" i="6" s="1"/>
  <c r="O337" i="6"/>
  <c r="J494" i="1"/>
  <c r="J506" i="1"/>
  <c r="M120" i="9"/>
  <c r="P120" i="9" s="1"/>
  <c r="P122" i="9"/>
  <c r="I186" i="1"/>
  <c r="K186" i="1" s="1"/>
  <c r="I244" i="1"/>
  <c r="K244" i="1" s="1"/>
  <c r="L315" i="1"/>
  <c r="J370" i="1"/>
  <c r="L384" i="1"/>
  <c r="O384" i="1" s="1"/>
  <c r="J416" i="1"/>
  <c r="I470" i="1"/>
  <c r="K470" i="1" s="1"/>
  <c r="I494" i="1"/>
  <c r="K494" i="1" s="1"/>
  <c r="I510" i="1"/>
  <c r="K510" i="1" s="1"/>
  <c r="L45" i="2"/>
  <c r="L43" i="2" s="1"/>
  <c r="L41" i="2" s="1"/>
  <c r="L98" i="2"/>
  <c r="O98" i="2" s="1"/>
  <c r="N148" i="1"/>
  <c r="P148" i="1" s="1"/>
  <c r="N222" i="2"/>
  <c r="P222" i="2" s="1"/>
  <c r="J246" i="1"/>
  <c r="N312" i="2"/>
  <c r="N310" i="2" s="1"/>
  <c r="N456" i="1"/>
  <c r="N461" i="1"/>
  <c r="K580" i="2"/>
  <c r="I589" i="1"/>
  <c r="J592" i="1"/>
  <c r="J596" i="1"/>
  <c r="N599" i="1"/>
  <c r="I633" i="1"/>
  <c r="J660" i="1"/>
  <c r="L57" i="3"/>
  <c r="O57" i="3" s="1"/>
  <c r="K81" i="3"/>
  <c r="O354" i="3"/>
  <c r="K497" i="3"/>
  <c r="K65" i="4"/>
  <c r="K80" i="4"/>
  <c r="K109" i="4"/>
  <c r="K158" i="4"/>
  <c r="K164" i="4"/>
  <c r="K185" i="4"/>
  <c r="K309" i="4"/>
  <c r="O455" i="4"/>
  <c r="K663" i="4"/>
  <c r="O102" i="5"/>
  <c r="K420" i="8"/>
  <c r="K424" i="8"/>
  <c r="K482" i="10"/>
  <c r="O582" i="10"/>
  <c r="K350" i="13"/>
  <c r="O668" i="15"/>
  <c r="K629" i="16"/>
  <c r="K547" i="18"/>
  <c r="O580" i="18"/>
  <c r="K635" i="18"/>
  <c r="P122" i="5"/>
  <c r="K164" i="5"/>
  <c r="J656" i="1"/>
  <c r="L45" i="6"/>
  <c r="O45" i="6" s="1"/>
  <c r="K112" i="6"/>
  <c r="N312" i="6"/>
  <c r="N310" i="6" s="1"/>
  <c r="K430" i="6"/>
  <c r="K435" i="6"/>
  <c r="O459" i="6"/>
  <c r="K270" i="7"/>
  <c r="O337" i="7"/>
  <c r="K397" i="7"/>
  <c r="N142" i="8"/>
  <c r="N140" i="8" s="1"/>
  <c r="K158" i="8"/>
  <c r="N222" i="8"/>
  <c r="N220" i="8" s="1"/>
  <c r="K455" i="8"/>
  <c r="N96" i="9"/>
  <c r="N94" i="9" s="1"/>
  <c r="P144" i="9"/>
  <c r="O537" i="9"/>
  <c r="K133" i="11"/>
  <c r="K149" i="11"/>
  <c r="L45" i="12"/>
  <c r="L43" i="12" s="1"/>
  <c r="L41" i="12" s="1"/>
  <c r="P224" i="12"/>
  <c r="M292" i="12"/>
  <c r="P292" i="12" s="1"/>
  <c r="K345" i="14"/>
  <c r="O349" i="14"/>
  <c r="L98" i="15"/>
  <c r="L96" i="15" s="1"/>
  <c r="O96" i="15" s="1"/>
  <c r="K213" i="15"/>
  <c r="O401" i="15"/>
  <c r="K473" i="15"/>
  <c r="P96" i="16"/>
  <c r="K377" i="16"/>
  <c r="K416" i="16"/>
  <c r="O457" i="16"/>
  <c r="K589" i="16"/>
  <c r="M140" i="17"/>
  <c r="L314" i="17"/>
  <c r="L312" i="17" s="1"/>
  <c r="K343" i="17"/>
  <c r="N43" i="18"/>
  <c r="N41" i="18" s="1"/>
  <c r="K668" i="18"/>
  <c r="K158" i="5"/>
  <c r="O455" i="5"/>
  <c r="O459" i="5"/>
  <c r="J610" i="1"/>
  <c r="J622" i="1"/>
  <c r="J635" i="1"/>
  <c r="J671" i="6"/>
  <c r="P224" i="7"/>
  <c r="J671" i="7"/>
  <c r="K580" i="8"/>
  <c r="L144" i="9"/>
  <c r="O144" i="9" s="1"/>
  <c r="O352" i="9"/>
  <c r="K370" i="9"/>
  <c r="K401" i="9"/>
  <c r="K547" i="9"/>
  <c r="O599" i="9"/>
  <c r="J651" i="9"/>
  <c r="K651" i="9" s="1"/>
  <c r="K149" i="10"/>
  <c r="K343" i="10"/>
  <c r="K616" i="10"/>
  <c r="L294" i="13"/>
  <c r="O294" i="13" s="1"/>
  <c r="K416" i="13"/>
  <c r="K533" i="13"/>
  <c r="O564" i="13"/>
  <c r="O568" i="13"/>
  <c r="K650" i="15"/>
  <c r="O566" i="16"/>
  <c r="O580" i="16"/>
  <c r="O597" i="16"/>
  <c r="K133" i="17"/>
  <c r="N292" i="17"/>
  <c r="N290" i="17" s="1"/>
  <c r="J671" i="17"/>
  <c r="K65" i="18"/>
  <c r="K427" i="18"/>
  <c r="O535" i="18"/>
  <c r="N222" i="5"/>
  <c r="N220" i="5" s="1"/>
  <c r="O347" i="5"/>
  <c r="N34" i="5"/>
  <c r="N14" i="5" s="1"/>
  <c r="K402" i="5"/>
  <c r="O406" i="5"/>
  <c r="J508" i="1"/>
  <c r="J512" i="1"/>
  <c r="J520" i="1"/>
  <c r="J524" i="1"/>
  <c r="J532" i="1"/>
  <c r="K619" i="5"/>
  <c r="L294" i="6"/>
  <c r="O294" i="6" s="1"/>
  <c r="K431" i="6"/>
  <c r="N222" i="7"/>
  <c r="N220" i="7" s="1"/>
  <c r="K402" i="7"/>
  <c r="K418" i="7"/>
  <c r="K422" i="7"/>
  <c r="K426" i="7"/>
  <c r="K430" i="7"/>
  <c r="K328" i="8"/>
  <c r="K630" i="8"/>
  <c r="K634" i="10"/>
  <c r="K370" i="11"/>
  <c r="K401" i="11"/>
  <c r="K564" i="11"/>
  <c r="N55" i="12"/>
  <c r="N53" i="12" s="1"/>
  <c r="K113" i="12"/>
  <c r="K149" i="12"/>
  <c r="P254" i="12"/>
  <c r="K564" i="12"/>
  <c r="K589" i="13"/>
  <c r="K597" i="13"/>
  <c r="K634" i="13"/>
  <c r="N312" i="14"/>
  <c r="N310" i="14" s="1"/>
  <c r="K65" i="15"/>
  <c r="K117" i="16"/>
  <c r="K109" i="17"/>
  <c r="K113" i="17"/>
  <c r="K499" i="17"/>
  <c r="O650" i="17"/>
  <c r="K424" i="18"/>
  <c r="P333" i="6"/>
  <c r="K416" i="6"/>
  <c r="O651" i="6"/>
  <c r="K665" i="6"/>
  <c r="K213" i="7"/>
  <c r="O564" i="7"/>
  <c r="K591" i="7"/>
  <c r="K82" i="8"/>
  <c r="K235" i="8"/>
  <c r="L275" i="8"/>
  <c r="L273" i="8" s="1"/>
  <c r="K368" i="8"/>
  <c r="K481" i="8"/>
  <c r="O566" i="8"/>
  <c r="K381" i="10"/>
  <c r="K398" i="10"/>
  <c r="N142" i="11"/>
  <c r="N140" i="11" s="1"/>
  <c r="J651" i="11"/>
  <c r="K176" i="17"/>
  <c r="K109" i="5"/>
  <c r="L254" i="5"/>
  <c r="O254" i="5" s="1"/>
  <c r="P333" i="5"/>
  <c r="K416" i="5"/>
  <c r="L314" i="9"/>
  <c r="O314" i="9" s="1"/>
  <c r="K573" i="10"/>
  <c r="K635" i="10"/>
  <c r="K173" i="11"/>
  <c r="K189" i="11"/>
  <c r="K591" i="11"/>
  <c r="O385" i="12"/>
  <c r="J671" i="13"/>
  <c r="K343" i="14"/>
  <c r="K614" i="15"/>
  <c r="K132" i="16"/>
  <c r="L144" i="16"/>
  <c r="L142" i="16" s="1"/>
  <c r="L140" i="16" s="1"/>
  <c r="N222" i="16"/>
  <c r="N220" i="16" s="1"/>
  <c r="P275" i="16"/>
  <c r="K418" i="16"/>
  <c r="K481" i="16"/>
  <c r="K380" i="17"/>
  <c r="K429" i="17"/>
  <c r="L294" i="18"/>
  <c r="O294" i="18" s="1"/>
  <c r="K270" i="5"/>
  <c r="K285" i="5"/>
  <c r="K432" i="5"/>
  <c r="K449" i="5"/>
  <c r="O457" i="5"/>
  <c r="J490" i="1"/>
  <c r="P122" i="6"/>
  <c r="K199" i="6"/>
  <c r="K432" i="6"/>
  <c r="K482" i="6"/>
  <c r="O537" i="6"/>
  <c r="L45" i="7"/>
  <c r="O45" i="7" s="1"/>
  <c r="O582" i="7"/>
  <c r="O599" i="7"/>
  <c r="K83" i="8"/>
  <c r="L144" i="8"/>
  <c r="O144" i="8" s="1"/>
  <c r="K377" i="8"/>
  <c r="O385" i="8"/>
  <c r="L98" i="9"/>
  <c r="O98" i="9" s="1"/>
  <c r="O406" i="9"/>
  <c r="O439" i="9"/>
  <c r="K466" i="9"/>
  <c r="K270" i="10"/>
  <c r="L333" i="10"/>
  <c r="L331" i="10" s="1"/>
  <c r="N120" i="11"/>
  <c r="N118" i="11" s="1"/>
  <c r="K185" i="11"/>
  <c r="K402" i="11"/>
  <c r="K466" i="11"/>
  <c r="K498" i="11"/>
  <c r="O533" i="11"/>
  <c r="O537" i="11"/>
  <c r="O599" i="11"/>
  <c r="K629" i="11"/>
  <c r="K665" i="11"/>
  <c r="K189" i="12"/>
  <c r="K264" i="12"/>
  <c r="L294" i="12"/>
  <c r="L292" i="12" s="1"/>
  <c r="O533" i="12"/>
  <c r="O537" i="12"/>
  <c r="O564" i="12"/>
  <c r="L70" i="14"/>
  <c r="O70" i="14" s="1"/>
  <c r="K466" i="14"/>
  <c r="K481" i="14"/>
  <c r="K533" i="14"/>
  <c r="O568" i="14"/>
  <c r="O582" i="14"/>
  <c r="K82" i="15"/>
  <c r="K340" i="15"/>
  <c r="K396" i="15"/>
  <c r="O404" i="15"/>
  <c r="K417" i="15"/>
  <c r="K421" i="15"/>
  <c r="K564" i="15"/>
  <c r="K632" i="15"/>
  <c r="K229" i="16"/>
  <c r="K368" i="16"/>
  <c r="K372" i="16"/>
  <c r="O582" i="16"/>
  <c r="P45" i="17"/>
  <c r="K398" i="17"/>
  <c r="K402" i="17"/>
  <c r="K435" i="17"/>
  <c r="O455" i="17"/>
  <c r="K113" i="18"/>
  <c r="I468" i="1"/>
  <c r="K468" i="1" s="1"/>
  <c r="P314" i="3"/>
  <c r="M312" i="3"/>
  <c r="P312" i="3" s="1"/>
  <c r="K576" i="3"/>
  <c r="I576" i="1"/>
  <c r="K576" i="1" s="1"/>
  <c r="K593" i="3"/>
  <c r="I593" i="1"/>
  <c r="O600" i="3"/>
  <c r="L600" i="1"/>
  <c r="O600" i="1" s="1"/>
  <c r="K630" i="3"/>
  <c r="I630" i="1"/>
  <c r="O458" i="4"/>
  <c r="L33" i="4"/>
  <c r="O33" i="4" s="1"/>
  <c r="I464" i="1"/>
  <c r="L145" i="1"/>
  <c r="P314" i="2"/>
  <c r="M312" i="2"/>
  <c r="M310" i="2" s="1"/>
  <c r="P25" i="3"/>
  <c r="M15" i="3"/>
  <c r="P15" i="3" s="1"/>
  <c r="M102" i="3"/>
  <c r="M96" i="3" s="1"/>
  <c r="O102" i="3"/>
  <c r="K490" i="3"/>
  <c r="I490" i="1"/>
  <c r="K490" i="1" s="1"/>
  <c r="K515" i="3"/>
  <c r="I515" i="1"/>
  <c r="K515" i="1" s="1"/>
  <c r="O534" i="3"/>
  <c r="L534" i="1"/>
  <c r="O534" i="1" s="1"/>
  <c r="K578" i="5"/>
  <c r="I578" i="1"/>
  <c r="K578" i="1" s="1"/>
  <c r="M15" i="6"/>
  <c r="P15" i="6" s="1"/>
  <c r="P25" i="6"/>
  <c r="P31" i="1"/>
  <c r="I81" i="1"/>
  <c r="L126" i="1"/>
  <c r="O126" i="1" s="1"/>
  <c r="M13" i="2"/>
  <c r="P13" i="2" s="1"/>
  <c r="P23" i="2"/>
  <c r="I665" i="1"/>
  <c r="K665" i="2"/>
  <c r="M30" i="5"/>
  <c r="P30" i="5" s="1"/>
  <c r="P32" i="5"/>
  <c r="M19" i="6"/>
  <c r="P21" i="6"/>
  <c r="M11" i="6"/>
  <c r="L54" i="1"/>
  <c r="O54" i="1" s="1"/>
  <c r="M98" i="1"/>
  <c r="P98" i="1" s="1"/>
  <c r="I491" i="1"/>
  <c r="K491" i="1" s="1"/>
  <c r="I580" i="1"/>
  <c r="J674" i="1"/>
  <c r="J671" i="2"/>
  <c r="J651" i="4"/>
  <c r="K651" i="4" s="1"/>
  <c r="J657" i="1"/>
  <c r="I472" i="1"/>
  <c r="K472" i="1" s="1"/>
  <c r="L24" i="2"/>
  <c r="O24" i="2" s="1"/>
  <c r="N252" i="2"/>
  <c r="N250" i="2" s="1"/>
  <c r="J479" i="1"/>
  <c r="J483" i="1"/>
  <c r="K498" i="3"/>
  <c r="K502" i="3"/>
  <c r="I502" i="1"/>
  <c r="K502" i="1" s="1"/>
  <c r="M29" i="4"/>
  <c r="P31" i="4"/>
  <c r="J514" i="1"/>
  <c r="M15" i="5"/>
  <c r="P25" i="5"/>
  <c r="I498" i="1"/>
  <c r="K498" i="5"/>
  <c r="M21" i="1"/>
  <c r="L119" i="1"/>
  <c r="O119" i="1" s="1"/>
  <c r="I133" i="1"/>
  <c r="J418" i="1"/>
  <c r="O581" i="2"/>
  <c r="L581" i="1"/>
  <c r="O581" i="1" s="1"/>
  <c r="K621" i="2"/>
  <c r="P141" i="3"/>
  <c r="I200" i="1"/>
  <c r="N384" i="1"/>
  <c r="K402" i="2"/>
  <c r="O439" i="2"/>
  <c r="K466" i="2"/>
  <c r="N601" i="1"/>
  <c r="J662" i="1"/>
  <c r="K111" i="3"/>
  <c r="N120" i="3"/>
  <c r="N118" i="3" s="1"/>
  <c r="N222" i="3"/>
  <c r="N220" i="3" s="1"/>
  <c r="M250" i="3"/>
  <c r="K270" i="3"/>
  <c r="N273" i="3"/>
  <c r="N271" i="3" s="1"/>
  <c r="N312" i="3"/>
  <c r="N310" i="3" s="1"/>
  <c r="K396" i="3"/>
  <c r="K417" i="3"/>
  <c r="K425" i="3"/>
  <c r="K429" i="3"/>
  <c r="K474" i="3"/>
  <c r="P224" i="4"/>
  <c r="K464" i="5"/>
  <c r="K64" i="6"/>
  <c r="P29" i="10"/>
  <c r="M28" i="10"/>
  <c r="P28" i="10" s="1"/>
  <c r="J269" i="1"/>
  <c r="P275" i="2"/>
  <c r="J350" i="1"/>
  <c r="N406" i="1"/>
  <c r="J486" i="1"/>
  <c r="J498" i="1"/>
  <c r="J510" i="1"/>
  <c r="J522" i="1"/>
  <c r="N569" i="1"/>
  <c r="I663" i="1"/>
  <c r="K65" i="3"/>
  <c r="L70" i="3"/>
  <c r="L68" i="3" s="1"/>
  <c r="L66" i="3" s="1"/>
  <c r="L98" i="3"/>
  <c r="O98" i="3" s="1"/>
  <c r="P144" i="3"/>
  <c r="K229" i="3"/>
  <c r="N330" i="1"/>
  <c r="P144" i="4"/>
  <c r="L224" i="4"/>
  <c r="O224" i="4" s="1"/>
  <c r="K418" i="4"/>
  <c r="K426" i="4"/>
  <c r="K430" i="4"/>
  <c r="O459" i="4"/>
  <c r="O649" i="4"/>
  <c r="N31" i="5"/>
  <c r="N29" i="5" s="1"/>
  <c r="O385" i="5"/>
  <c r="K473" i="5"/>
  <c r="O564" i="5"/>
  <c r="M14" i="6"/>
  <c r="P14" i="6" s="1"/>
  <c r="O25" i="6"/>
  <c r="M68" i="6"/>
  <c r="J76" i="1"/>
  <c r="K343" i="2"/>
  <c r="K416" i="2"/>
  <c r="K499" i="2"/>
  <c r="J560" i="1"/>
  <c r="N570" i="1"/>
  <c r="M19" i="3"/>
  <c r="P19" i="3" s="1"/>
  <c r="K88" i="3"/>
  <c r="K266" i="3"/>
  <c r="L294" i="3"/>
  <c r="O294" i="3" s="1"/>
  <c r="O401" i="3"/>
  <c r="K422" i="3"/>
  <c r="K426" i="3"/>
  <c r="K451" i="3"/>
  <c r="K249" i="4"/>
  <c r="K267" i="4"/>
  <c r="K368" i="4"/>
  <c r="K419" i="4"/>
  <c r="K427" i="4"/>
  <c r="K573" i="4"/>
  <c r="K591" i="4"/>
  <c r="M14" i="5"/>
  <c r="P14" i="5" s="1"/>
  <c r="K92" i="5"/>
  <c r="M252" i="5"/>
  <c r="P252" i="5" s="1"/>
  <c r="P291" i="5"/>
  <c r="L57" i="6"/>
  <c r="L55" i="6" s="1"/>
  <c r="K402" i="6"/>
  <c r="N141" i="1"/>
  <c r="K93" i="5"/>
  <c r="P224" i="5"/>
  <c r="L333" i="5"/>
  <c r="O333" i="5" s="1"/>
  <c r="K341" i="5"/>
  <c r="K401" i="5"/>
  <c r="K481" i="5"/>
  <c r="K589" i="5"/>
  <c r="M29" i="6"/>
  <c r="N55" i="2"/>
  <c r="N53" i="2" s="1"/>
  <c r="M70" i="1"/>
  <c r="J105" i="1"/>
  <c r="J130" i="1"/>
  <c r="J202" i="1"/>
  <c r="J245" i="1"/>
  <c r="M292" i="2"/>
  <c r="P292" i="2" s="1"/>
  <c r="K464" i="2"/>
  <c r="K589" i="2"/>
  <c r="L15" i="3"/>
  <c r="O15" i="3" s="1"/>
  <c r="N19" i="3"/>
  <c r="O435" i="3"/>
  <c r="K465" i="3"/>
  <c r="L26" i="4"/>
  <c r="L16" i="4" s="1"/>
  <c r="N68" i="4"/>
  <c r="N66" i="4" s="1"/>
  <c r="K113" i="4"/>
  <c r="M22" i="5"/>
  <c r="M12" i="5" s="1"/>
  <c r="N312" i="5"/>
  <c r="N310" i="5" s="1"/>
  <c r="J308" i="1"/>
  <c r="J344" i="1"/>
  <c r="J401" i="1"/>
  <c r="N458" i="1"/>
  <c r="J468" i="1"/>
  <c r="J516" i="1"/>
  <c r="J528" i="1"/>
  <c r="J607" i="1"/>
  <c r="N644" i="2"/>
  <c r="N640" i="2" s="1"/>
  <c r="N638" i="2" s="1"/>
  <c r="N636" i="2" s="1"/>
  <c r="P21" i="3"/>
  <c r="K164" i="3"/>
  <c r="N331" i="3"/>
  <c r="P331" i="3" s="1"/>
  <c r="K340" i="3"/>
  <c r="K376" i="3"/>
  <c r="K402" i="3"/>
  <c r="K466" i="3"/>
  <c r="K633" i="3"/>
  <c r="K265" i="4"/>
  <c r="K270" i="4"/>
  <c r="L275" i="4"/>
  <c r="L273" i="4" s="1"/>
  <c r="O347" i="4"/>
  <c r="K432" i="4"/>
  <c r="K482" i="4"/>
  <c r="N15" i="5"/>
  <c r="P144" i="5"/>
  <c r="K199" i="5"/>
  <c r="L224" i="5"/>
  <c r="O224" i="5" s="1"/>
  <c r="N252" i="5"/>
  <c r="N250" i="5" s="1"/>
  <c r="K397" i="5"/>
  <c r="K421" i="5"/>
  <c r="K425" i="5"/>
  <c r="O566" i="5"/>
  <c r="O584" i="5"/>
  <c r="N55" i="6"/>
  <c r="N53" i="6" s="1"/>
  <c r="N19" i="2"/>
  <c r="J117" i="1"/>
  <c r="K199" i="2"/>
  <c r="K309" i="2"/>
  <c r="L333" i="2"/>
  <c r="O333" i="2" s="1"/>
  <c r="O383" i="2"/>
  <c r="K451" i="2"/>
  <c r="K473" i="2"/>
  <c r="K481" i="2"/>
  <c r="K497" i="2"/>
  <c r="K533" i="2"/>
  <c r="N541" i="1"/>
  <c r="K630" i="2"/>
  <c r="K634" i="2"/>
  <c r="J653" i="1"/>
  <c r="L665" i="1"/>
  <c r="J669" i="1"/>
  <c r="M30" i="3"/>
  <c r="P30" i="3" s="1"/>
  <c r="K82" i="3"/>
  <c r="K92" i="3"/>
  <c r="K110" i="3"/>
  <c r="M142" i="3"/>
  <c r="L254" i="3"/>
  <c r="O254" i="3" s="1"/>
  <c r="K349" i="3"/>
  <c r="O352" i="3"/>
  <c r="K416" i="3"/>
  <c r="K420" i="3"/>
  <c r="K428" i="3"/>
  <c r="K432" i="3"/>
  <c r="K449" i="3"/>
  <c r="K620" i="3"/>
  <c r="K629" i="3"/>
  <c r="M13" i="4"/>
  <c r="P13" i="4" s="1"/>
  <c r="K328" i="4"/>
  <c r="P333" i="4"/>
  <c r="K396" i="4"/>
  <c r="K401" i="4"/>
  <c r="O404" i="4"/>
  <c r="K417" i="4"/>
  <c r="K450" i="4"/>
  <c r="K560" i="4"/>
  <c r="K580" i="4"/>
  <c r="K589" i="4"/>
  <c r="J671" i="4"/>
  <c r="K112" i="5"/>
  <c r="M118" i="5"/>
  <c r="O380" i="5"/>
  <c r="O535" i="5"/>
  <c r="O601" i="5"/>
  <c r="L70" i="6"/>
  <c r="O70" i="6" s="1"/>
  <c r="K625" i="7"/>
  <c r="K626" i="7"/>
  <c r="N32" i="7"/>
  <c r="N30" i="7" s="1"/>
  <c r="P119" i="15"/>
  <c r="M118" i="15"/>
  <c r="O102" i="6"/>
  <c r="K109" i="6"/>
  <c r="K173" i="6"/>
  <c r="L254" i="6"/>
  <c r="L252" i="6" s="1"/>
  <c r="P294" i="6"/>
  <c r="K427" i="6"/>
  <c r="K615" i="6"/>
  <c r="K628" i="6"/>
  <c r="K632" i="6"/>
  <c r="M11" i="7"/>
  <c r="P11" i="7" s="1"/>
  <c r="P21" i="7"/>
  <c r="K88" i="7"/>
  <c r="O437" i="7"/>
  <c r="K450" i="7"/>
  <c r="O457" i="7"/>
  <c r="K498" i="7"/>
  <c r="O568" i="7"/>
  <c r="K635" i="7"/>
  <c r="K64" i="8"/>
  <c r="N252" i="8"/>
  <c r="N250" i="8" s="1"/>
  <c r="O347" i="8"/>
  <c r="N19" i="9"/>
  <c r="M30" i="9"/>
  <c r="P30" i="9" s="1"/>
  <c r="M41" i="9"/>
  <c r="K235" i="9"/>
  <c r="P333" i="9"/>
  <c r="K340" i="9"/>
  <c r="O533" i="9"/>
  <c r="O584" i="9"/>
  <c r="O597" i="9"/>
  <c r="O601" i="9"/>
  <c r="K650" i="9"/>
  <c r="P144" i="10"/>
  <c r="N222" i="10"/>
  <c r="N220" i="10" s="1"/>
  <c r="L275" i="10"/>
  <c r="L273" i="10" s="1"/>
  <c r="L271" i="10" s="1"/>
  <c r="K431" i="10"/>
  <c r="O584" i="10"/>
  <c r="K81" i="11"/>
  <c r="K176" i="11"/>
  <c r="L294" i="11"/>
  <c r="O294" i="11" s="1"/>
  <c r="K372" i="11"/>
  <c r="O380" i="11"/>
  <c r="M14" i="12"/>
  <c r="P14" i="12" s="1"/>
  <c r="L57" i="12"/>
  <c r="L55" i="12" s="1"/>
  <c r="K340" i="13"/>
  <c r="O337" i="14"/>
  <c r="O404" i="8"/>
  <c r="O599" i="8"/>
  <c r="L640" i="8"/>
  <c r="O640" i="8" s="1"/>
  <c r="M14" i="9"/>
  <c r="P14" i="9" s="1"/>
  <c r="P23" i="9"/>
  <c r="N43" i="9"/>
  <c r="N41" i="9" s="1"/>
  <c r="N120" i="9"/>
  <c r="N118" i="9" s="1"/>
  <c r="K158" i="9"/>
  <c r="K164" i="9"/>
  <c r="L275" i="9"/>
  <c r="O275" i="9" s="1"/>
  <c r="P24" i="10"/>
  <c r="N55" i="11"/>
  <c r="N53" i="11" s="1"/>
  <c r="M11" i="16"/>
  <c r="P11" i="16" s="1"/>
  <c r="K200" i="6"/>
  <c r="K270" i="6"/>
  <c r="K466" i="6"/>
  <c r="M29" i="7"/>
  <c r="K350" i="7"/>
  <c r="J651" i="7"/>
  <c r="M14" i="8"/>
  <c r="P14" i="8" s="1"/>
  <c r="O25" i="8"/>
  <c r="K92" i="8"/>
  <c r="K199" i="8"/>
  <c r="P224" i="8"/>
  <c r="N312" i="8"/>
  <c r="N310" i="8" s="1"/>
  <c r="K631" i="9"/>
  <c r="O665" i="9"/>
  <c r="K189" i="10"/>
  <c r="O337" i="10"/>
  <c r="K396" i="10"/>
  <c r="O455" i="10"/>
  <c r="O459" i="10"/>
  <c r="K533" i="10"/>
  <c r="O597" i="10"/>
  <c r="P45" i="11"/>
  <c r="K64" i="11"/>
  <c r="K235" i="11"/>
  <c r="K270" i="11"/>
  <c r="K377" i="11"/>
  <c r="O404" i="12"/>
  <c r="K417" i="12"/>
  <c r="K421" i="12"/>
  <c r="M14" i="13"/>
  <c r="P14" i="13" s="1"/>
  <c r="P24" i="13"/>
  <c r="K235" i="15"/>
  <c r="K285" i="15"/>
  <c r="O650" i="15"/>
  <c r="M13" i="16"/>
  <c r="P13" i="16" s="1"/>
  <c r="K164" i="6"/>
  <c r="K229" i="6"/>
  <c r="K401" i="6"/>
  <c r="O457" i="6"/>
  <c r="K612" i="6"/>
  <c r="M30" i="7"/>
  <c r="P30" i="7" s="1"/>
  <c r="K86" i="7"/>
  <c r="K110" i="7"/>
  <c r="K215" i="7"/>
  <c r="L70" i="8"/>
  <c r="O70" i="8" s="1"/>
  <c r="K93" i="8"/>
  <c r="K111" i="8"/>
  <c r="O401" i="8"/>
  <c r="K499" i="8"/>
  <c r="J671" i="8"/>
  <c r="L45" i="9"/>
  <c r="O45" i="9" s="1"/>
  <c r="N142" i="9"/>
  <c r="N140" i="9" s="1"/>
  <c r="P140" i="9" s="1"/>
  <c r="N644" i="9"/>
  <c r="N640" i="9" s="1"/>
  <c r="N638" i="9" s="1"/>
  <c r="N636" i="9" s="1"/>
  <c r="M292" i="10"/>
  <c r="P292" i="10" s="1"/>
  <c r="L19" i="14"/>
  <c r="O19" i="14" s="1"/>
  <c r="O21" i="14"/>
  <c r="K613" i="15"/>
  <c r="K611" i="15"/>
  <c r="P98" i="6"/>
  <c r="K597" i="6"/>
  <c r="K648" i="6"/>
  <c r="M271" i="7"/>
  <c r="O347" i="7"/>
  <c r="K377" i="7"/>
  <c r="O435" i="7"/>
  <c r="O455" i="7"/>
  <c r="K481" i="7"/>
  <c r="L98" i="8"/>
  <c r="O98" i="8" s="1"/>
  <c r="K132" i="8"/>
  <c r="K216" i="8"/>
  <c r="K341" i="8"/>
  <c r="K345" i="8"/>
  <c r="O349" i="8"/>
  <c r="K380" i="8"/>
  <c r="K435" i="8"/>
  <c r="O568" i="8"/>
  <c r="O597" i="8"/>
  <c r="O601" i="8"/>
  <c r="M15" i="9"/>
  <c r="P15" i="9" s="1"/>
  <c r="K380" i="9"/>
  <c r="O404" i="9"/>
  <c r="K421" i="9"/>
  <c r="K449" i="9"/>
  <c r="O457" i="9"/>
  <c r="K65" i="10"/>
  <c r="M140" i="10"/>
  <c r="K429" i="10"/>
  <c r="K612" i="10"/>
  <c r="K65" i="11"/>
  <c r="P224" i="11"/>
  <c r="K547" i="11"/>
  <c r="K375" i="12"/>
  <c r="K380" i="12"/>
  <c r="L19" i="15"/>
  <c r="O19" i="15" s="1"/>
  <c r="N32" i="15"/>
  <c r="N30" i="15" s="1"/>
  <c r="N96" i="16"/>
  <c r="N94" i="16" s="1"/>
  <c r="N222" i="6"/>
  <c r="N220" i="6" s="1"/>
  <c r="N43" i="7"/>
  <c r="N41" i="7" s="1"/>
  <c r="N120" i="7"/>
  <c r="N118" i="7" s="1"/>
  <c r="N142" i="7"/>
  <c r="P142" i="7" s="1"/>
  <c r="K264" i="8"/>
  <c r="K372" i="8"/>
  <c r="K376" i="8"/>
  <c r="K398" i="8"/>
  <c r="K635" i="8"/>
  <c r="M273" i="9"/>
  <c r="P273" i="9" s="1"/>
  <c r="K464" i="9"/>
  <c r="K633" i="9"/>
  <c r="K87" i="10"/>
  <c r="M222" i="10"/>
  <c r="P222" i="10" s="1"/>
  <c r="K340" i="10"/>
  <c r="K418" i="10"/>
  <c r="K449" i="10"/>
  <c r="K560" i="10"/>
  <c r="L98" i="11"/>
  <c r="L96" i="11" s="1"/>
  <c r="K200" i="11"/>
  <c r="L333" i="11"/>
  <c r="L331" i="11" s="1"/>
  <c r="K349" i="11"/>
  <c r="K396" i="11"/>
  <c r="L224" i="13"/>
  <c r="O224" i="13" s="1"/>
  <c r="K432" i="13"/>
  <c r="O599" i="13"/>
  <c r="O533" i="14"/>
  <c r="O537" i="14"/>
  <c r="K580" i="14"/>
  <c r="K597" i="14"/>
  <c r="M19" i="15"/>
  <c r="P19" i="15" s="1"/>
  <c r="L122" i="15"/>
  <c r="O122" i="15" s="1"/>
  <c r="K380" i="16"/>
  <c r="N120" i="6"/>
  <c r="N118" i="6" s="1"/>
  <c r="K267" i="6"/>
  <c r="K328" i="6"/>
  <c r="K398" i="6"/>
  <c r="K426" i="6"/>
  <c r="K573" i="6"/>
  <c r="O597" i="6"/>
  <c r="O601" i="6"/>
  <c r="K631" i="6"/>
  <c r="K635" i="6"/>
  <c r="L122" i="7"/>
  <c r="L120" i="7" s="1"/>
  <c r="M312" i="7"/>
  <c r="P312" i="7" s="1"/>
  <c r="K349" i="7"/>
  <c r="K474" i="7"/>
  <c r="K482" i="7"/>
  <c r="K573" i="7"/>
  <c r="K133" i="8"/>
  <c r="K201" i="8"/>
  <c r="P275" i="8"/>
  <c r="K419" i="8"/>
  <c r="K423" i="8"/>
  <c r="K431" i="8"/>
  <c r="O435" i="8"/>
  <c r="K547" i="8"/>
  <c r="O582" i="8"/>
  <c r="K189" i="9"/>
  <c r="K200" i="9"/>
  <c r="L254" i="9"/>
  <c r="O254" i="9" s="1"/>
  <c r="O354" i="9"/>
  <c r="K376" i="9"/>
  <c r="K498" i="9"/>
  <c r="K533" i="9"/>
  <c r="O651" i="9"/>
  <c r="L57" i="10"/>
  <c r="L55" i="10" s="1"/>
  <c r="K422" i="10"/>
  <c r="K426" i="10"/>
  <c r="K430" i="10"/>
  <c r="K375" i="11"/>
  <c r="K380" i="11"/>
  <c r="P29" i="12"/>
  <c r="M28" i="12"/>
  <c r="P28" i="12" s="1"/>
  <c r="K497" i="15"/>
  <c r="O404" i="11"/>
  <c r="K432" i="11"/>
  <c r="K482" i="11"/>
  <c r="K649" i="11"/>
  <c r="P57" i="12"/>
  <c r="K108" i="12"/>
  <c r="K133" i="12"/>
  <c r="K328" i="12"/>
  <c r="K341" i="12"/>
  <c r="O349" i="12"/>
  <c r="K401" i="12"/>
  <c r="K449" i="12"/>
  <c r="K466" i="12"/>
  <c r="L45" i="13"/>
  <c r="O45" i="13" s="1"/>
  <c r="L122" i="13"/>
  <c r="O122" i="13" s="1"/>
  <c r="K173" i="13"/>
  <c r="K200" i="13"/>
  <c r="N271" i="13"/>
  <c r="O347" i="13"/>
  <c r="K377" i="13"/>
  <c r="L15" i="14"/>
  <c r="O15" i="14" s="1"/>
  <c r="K93" i="14"/>
  <c r="L122" i="14"/>
  <c r="O122" i="14" s="1"/>
  <c r="K375" i="14"/>
  <c r="K417" i="14"/>
  <c r="O564" i="14"/>
  <c r="K623" i="14"/>
  <c r="J651" i="14"/>
  <c r="K216" i="15"/>
  <c r="K380" i="15"/>
  <c r="O383" i="15"/>
  <c r="K397" i="15"/>
  <c r="K418" i="15"/>
  <c r="K426" i="15"/>
  <c r="O566" i="15"/>
  <c r="O601" i="15"/>
  <c r="N68" i="16"/>
  <c r="N66" i="16" s="1"/>
  <c r="K328" i="16"/>
  <c r="P333" i="16"/>
  <c r="K349" i="16"/>
  <c r="O383" i="17"/>
  <c r="K397" i="17"/>
  <c r="K421" i="17"/>
  <c r="K425" i="17"/>
  <c r="O437" i="17"/>
  <c r="O665" i="17"/>
  <c r="L57" i="18"/>
  <c r="O57" i="18" s="1"/>
  <c r="L254" i="18"/>
  <c r="O254" i="18" s="1"/>
  <c r="P275" i="18"/>
  <c r="K381" i="18"/>
  <c r="K432" i="18"/>
  <c r="K466" i="18"/>
  <c r="O584" i="18"/>
  <c r="K631" i="18"/>
  <c r="O650" i="18"/>
  <c r="O671" i="18"/>
  <c r="K631" i="16"/>
  <c r="K635" i="16"/>
  <c r="K186" i="17"/>
  <c r="P224" i="17"/>
  <c r="K455" i="17"/>
  <c r="K547" i="17"/>
  <c r="K597" i="17"/>
  <c r="K630" i="17"/>
  <c r="K650" i="17"/>
  <c r="P102" i="18"/>
  <c r="K189" i="18"/>
  <c r="K200" i="18"/>
  <c r="K306" i="18"/>
  <c r="P333" i="18"/>
  <c r="K370" i="18"/>
  <c r="K651" i="18"/>
  <c r="K663" i="18"/>
  <c r="N32" i="17"/>
  <c r="N30" i="17" s="1"/>
  <c r="O352" i="13"/>
  <c r="K466" i="13"/>
  <c r="K621" i="14"/>
  <c r="K235" i="16"/>
  <c r="O349" i="16"/>
  <c r="N33" i="16"/>
  <c r="N13" i="16" s="1"/>
  <c r="K149" i="17"/>
  <c r="K219" i="17"/>
  <c r="M66" i="18"/>
  <c r="K229" i="18"/>
  <c r="O668" i="18"/>
  <c r="O380" i="12"/>
  <c r="K634" i="12"/>
  <c r="N312" i="13"/>
  <c r="N310" i="13" s="1"/>
  <c r="O457" i="13"/>
  <c r="K547" i="13"/>
  <c r="O566" i="13"/>
  <c r="K630" i="13"/>
  <c r="K109" i="14"/>
  <c r="O347" i="14"/>
  <c r="K370" i="14"/>
  <c r="O566" i="14"/>
  <c r="O584" i="14"/>
  <c r="N142" i="15"/>
  <c r="N140" i="15" s="1"/>
  <c r="O651" i="15"/>
  <c r="K665" i="15"/>
  <c r="K350" i="16"/>
  <c r="K430" i="16"/>
  <c r="K499" i="16"/>
  <c r="M14" i="17"/>
  <c r="P14" i="17" s="1"/>
  <c r="K464" i="18"/>
  <c r="K533" i="11"/>
  <c r="O580" i="11"/>
  <c r="N142" i="12"/>
  <c r="P142" i="12" s="1"/>
  <c r="J671" i="12"/>
  <c r="K450" i="13"/>
  <c r="K631" i="13"/>
  <c r="K625" i="14"/>
  <c r="L70" i="15"/>
  <c r="L68" i="15" s="1"/>
  <c r="L66" i="15" s="1"/>
  <c r="K80" i="15"/>
  <c r="K88" i="15"/>
  <c r="N120" i="15"/>
  <c r="N118" i="15" s="1"/>
  <c r="K219" i="15"/>
  <c r="P224" i="15"/>
  <c r="K377" i="15"/>
  <c r="K499" i="15"/>
  <c r="P98" i="16"/>
  <c r="K199" i="16"/>
  <c r="K381" i="16"/>
  <c r="O385" i="16"/>
  <c r="K597" i="16"/>
  <c r="K633" i="16"/>
  <c r="K132" i="17"/>
  <c r="N142" i="17"/>
  <c r="P142" i="17" s="1"/>
  <c r="K235" i="17"/>
  <c r="O347" i="17"/>
  <c r="K423" i="17"/>
  <c r="O459" i="17"/>
  <c r="K615" i="17"/>
  <c r="L19" i="18"/>
  <c r="O19" i="18" s="1"/>
  <c r="K93" i="18"/>
  <c r="M96" i="18"/>
  <c r="K368" i="18"/>
  <c r="O537" i="18"/>
  <c r="O665" i="18"/>
  <c r="O439" i="11"/>
  <c r="K377" i="12"/>
  <c r="K381" i="12"/>
  <c r="K482" i="13"/>
  <c r="K573" i="13"/>
  <c r="O597" i="13"/>
  <c r="K328" i="14"/>
  <c r="N331" i="14"/>
  <c r="N329" i="14" s="1"/>
  <c r="K611" i="14"/>
  <c r="K615" i="14"/>
  <c r="K634" i="14"/>
  <c r="K204" i="15"/>
  <c r="K429" i="15"/>
  <c r="O437" i="15"/>
  <c r="K612" i="15"/>
  <c r="P45" i="16"/>
  <c r="N142" i="16"/>
  <c r="N140" i="16" s="1"/>
  <c r="J671" i="16"/>
  <c r="N273" i="17"/>
  <c r="N271" i="17" s="1"/>
  <c r="K424" i="17"/>
  <c r="K428" i="17"/>
  <c r="K432" i="17"/>
  <c r="N96" i="18"/>
  <c r="N94" i="18" s="1"/>
  <c r="M140" i="18"/>
  <c r="N252" i="18"/>
  <c r="P252" i="18" s="1"/>
  <c r="M273" i="18"/>
  <c r="M271" i="18" s="1"/>
  <c r="K309" i="18"/>
  <c r="L314" i="18"/>
  <c r="L312" i="18" s="1"/>
  <c r="O435" i="18"/>
  <c r="K473" i="18"/>
  <c r="K580" i="18"/>
  <c r="L98" i="12"/>
  <c r="L96" i="12" s="1"/>
  <c r="L94" i="12" s="1"/>
  <c r="L144" i="12"/>
  <c r="L142" i="12" s="1"/>
  <c r="N273" i="12"/>
  <c r="N271" i="12" s="1"/>
  <c r="N312" i="12"/>
  <c r="N310" i="12" s="1"/>
  <c r="P45" i="13"/>
  <c r="O380" i="13"/>
  <c r="K464" i="13"/>
  <c r="M11" i="14"/>
  <c r="P11" i="14" s="1"/>
  <c r="L224" i="15"/>
  <c r="O224" i="15" s="1"/>
  <c r="P275" i="15"/>
  <c r="L294" i="15"/>
  <c r="L292" i="15" s="1"/>
  <c r="N312" i="15"/>
  <c r="N310" i="15" s="1"/>
  <c r="K341" i="15"/>
  <c r="O349" i="15"/>
  <c r="O661" i="15"/>
  <c r="K343" i="16"/>
  <c r="N96" i="17"/>
  <c r="N94" i="17" s="1"/>
  <c r="K229" i="17"/>
  <c r="K265" i="17"/>
  <c r="K625" i="17"/>
  <c r="N120" i="18"/>
  <c r="N118" i="18" s="1"/>
  <c r="N142" i="18"/>
  <c r="N140" i="18" s="1"/>
  <c r="O566" i="18"/>
  <c r="J671" i="18"/>
  <c r="K671" i="18" s="1"/>
  <c r="M252" i="2"/>
  <c r="J284" i="1"/>
  <c r="K435" i="2"/>
  <c r="O437" i="2"/>
  <c r="K597" i="2"/>
  <c r="K628" i="2"/>
  <c r="K138" i="3"/>
  <c r="L333" i="3"/>
  <c r="O333" i="3" s="1"/>
  <c r="K350" i="3"/>
  <c r="L31" i="2"/>
  <c r="L29" i="2" s="1"/>
  <c r="O29" i="2" s="1"/>
  <c r="N68" i="2"/>
  <c r="N66" i="2" s="1"/>
  <c r="N96" i="2"/>
  <c r="N94" i="2" s="1"/>
  <c r="L224" i="2"/>
  <c r="L222" i="2" s="1"/>
  <c r="L220" i="2" s="1"/>
  <c r="K285" i="2"/>
  <c r="J376" i="1"/>
  <c r="K380" i="2"/>
  <c r="O533" i="2"/>
  <c r="P57" i="3"/>
  <c r="K93" i="3"/>
  <c r="K108" i="3"/>
  <c r="L31" i="3"/>
  <c r="L29" i="3" s="1"/>
  <c r="O406" i="3"/>
  <c r="O457" i="3"/>
  <c r="L294" i="2"/>
  <c r="O294" i="2" s="1"/>
  <c r="K341" i="2"/>
  <c r="O347" i="2"/>
  <c r="K426" i="2"/>
  <c r="O435" i="2"/>
  <c r="K632" i="2"/>
  <c r="K80" i="3"/>
  <c r="K83" i="3"/>
  <c r="P98" i="3"/>
  <c r="L122" i="3"/>
  <c r="L120" i="3" s="1"/>
  <c r="L118" i="3" s="1"/>
  <c r="O118" i="3" s="1"/>
  <c r="K200" i="3"/>
  <c r="O404" i="3"/>
  <c r="K418" i="3"/>
  <c r="K424" i="3"/>
  <c r="K430" i="3"/>
  <c r="M140" i="6"/>
  <c r="N120" i="2"/>
  <c r="N118" i="2" s="1"/>
  <c r="K133" i="2"/>
  <c r="K158" i="2"/>
  <c r="M273" i="2"/>
  <c r="M333" i="1"/>
  <c r="K450" i="2"/>
  <c r="K551" i="2"/>
  <c r="K573" i="2"/>
  <c r="K591" i="2"/>
  <c r="K401" i="3"/>
  <c r="K450" i="3"/>
  <c r="N22" i="2"/>
  <c r="N142" i="2"/>
  <c r="K164" i="2"/>
  <c r="K189" i="2"/>
  <c r="K219" i="2"/>
  <c r="L252" i="2"/>
  <c r="L250" i="2" s="1"/>
  <c r="O250" i="2" s="1"/>
  <c r="K324" i="2"/>
  <c r="N331" i="2"/>
  <c r="N329" i="2" s="1"/>
  <c r="L33" i="3"/>
  <c r="O33" i="3" s="1"/>
  <c r="K112" i="3"/>
  <c r="I367" i="3"/>
  <c r="K367" i="3" s="1"/>
  <c r="K398" i="3"/>
  <c r="O437" i="3"/>
  <c r="K626" i="3"/>
  <c r="K81" i="4"/>
  <c r="K87" i="4"/>
  <c r="K350" i="4"/>
  <c r="K423" i="4"/>
  <c r="K429" i="4"/>
  <c r="O457" i="4"/>
  <c r="K465" i="4"/>
  <c r="K473" i="4"/>
  <c r="O566" i="4"/>
  <c r="M68" i="5"/>
  <c r="M66" i="5" s="1"/>
  <c r="P66" i="5" s="1"/>
  <c r="P98" i="5"/>
  <c r="K428" i="5"/>
  <c r="K613" i="8"/>
  <c r="K481" i="3"/>
  <c r="O582" i="3"/>
  <c r="K631" i="3"/>
  <c r="N26" i="4"/>
  <c r="N16" i="4" s="1"/>
  <c r="K497" i="4"/>
  <c r="O555" i="4"/>
  <c r="O599" i="4"/>
  <c r="O651" i="4"/>
  <c r="L98" i="5"/>
  <c r="O98" i="5" s="1"/>
  <c r="K328" i="5"/>
  <c r="K435" i="5"/>
  <c r="O437" i="5"/>
  <c r="O533" i="5"/>
  <c r="K613" i="6"/>
  <c r="K616" i="6"/>
  <c r="J651" i="6"/>
  <c r="K651" i="6" s="1"/>
  <c r="L70" i="7"/>
  <c r="O70" i="7" s="1"/>
  <c r="K93" i="7"/>
  <c r="K149" i="7"/>
  <c r="K435" i="7"/>
  <c r="K449" i="7"/>
  <c r="K466" i="7"/>
  <c r="K117" i="8"/>
  <c r="P122" i="8"/>
  <c r="L254" i="8"/>
  <c r="O254" i="8" s="1"/>
  <c r="K343" i="8"/>
  <c r="K416" i="8"/>
  <c r="O459" i="8"/>
  <c r="K619" i="8"/>
  <c r="L23" i="9"/>
  <c r="O23" i="9" s="1"/>
  <c r="O347" i="9"/>
  <c r="P98" i="11"/>
  <c r="M96" i="11"/>
  <c r="P224" i="13"/>
  <c r="M222" i="13"/>
  <c r="P57" i="14"/>
  <c r="M55" i="14"/>
  <c r="K547" i="3"/>
  <c r="K624" i="3"/>
  <c r="K88" i="4"/>
  <c r="K112" i="4"/>
  <c r="K173" i="4"/>
  <c r="K229" i="4"/>
  <c r="K340" i="4"/>
  <c r="K343" i="4"/>
  <c r="K372" i="4"/>
  <c r="K375" i="4"/>
  <c r="K381" i="4"/>
  <c r="K424" i="4"/>
  <c r="O564" i="4"/>
  <c r="N120" i="5"/>
  <c r="N118" i="5" s="1"/>
  <c r="N292" i="5"/>
  <c r="N290" i="5" s="1"/>
  <c r="K429" i="5"/>
  <c r="K455" i="5"/>
  <c r="K597" i="5"/>
  <c r="K80" i="6"/>
  <c r="M102" i="6"/>
  <c r="K345" i="6"/>
  <c r="K377" i="6"/>
  <c r="O568" i="6"/>
  <c r="N96" i="7"/>
  <c r="N94" i="7" s="1"/>
  <c r="K343" i="7"/>
  <c r="I367" i="7"/>
  <c r="K367" i="7" s="1"/>
  <c r="N33" i="7"/>
  <c r="N13" i="7" s="1"/>
  <c r="K81" i="8"/>
  <c r="K249" i="8"/>
  <c r="N273" i="8"/>
  <c r="N271" i="8" s="1"/>
  <c r="N331" i="8"/>
  <c r="N329" i="8" s="1"/>
  <c r="N31" i="8"/>
  <c r="N11" i="8" s="1"/>
  <c r="N9" i="8" s="1"/>
  <c r="K397" i="8"/>
  <c r="K417" i="8"/>
  <c r="K425" i="8"/>
  <c r="K428" i="8"/>
  <c r="K533" i="8"/>
  <c r="K595" i="8"/>
  <c r="N222" i="9"/>
  <c r="N220" i="9" s="1"/>
  <c r="N273" i="9"/>
  <c r="N271" i="9" s="1"/>
  <c r="K345" i="9"/>
  <c r="K350" i="9"/>
  <c r="K368" i="9"/>
  <c r="K397" i="9"/>
  <c r="K402" i="9"/>
  <c r="K416" i="9"/>
  <c r="K430" i="9"/>
  <c r="O435" i="9"/>
  <c r="K371" i="10"/>
  <c r="I367" i="10"/>
  <c r="K367" i="10" s="1"/>
  <c r="K466" i="10"/>
  <c r="O533" i="10"/>
  <c r="K626" i="12"/>
  <c r="K621" i="12"/>
  <c r="K623" i="12"/>
  <c r="K625" i="12"/>
  <c r="K632" i="3"/>
  <c r="K498" i="4"/>
  <c r="K593" i="4"/>
  <c r="N331" i="5"/>
  <c r="N329" i="5" s="1"/>
  <c r="M120" i="6"/>
  <c r="K614" i="6"/>
  <c r="K381" i="7"/>
  <c r="O401" i="7"/>
  <c r="O537" i="7"/>
  <c r="O584" i="7"/>
  <c r="K622" i="7"/>
  <c r="M96" i="8"/>
  <c r="M94" i="8" s="1"/>
  <c r="L314" i="8"/>
  <c r="O314" i="8" s="1"/>
  <c r="P333" i="8"/>
  <c r="K465" i="8"/>
  <c r="K498" i="8"/>
  <c r="O533" i="8"/>
  <c r="J651" i="8"/>
  <c r="M312" i="9"/>
  <c r="P312" i="9" s="1"/>
  <c r="M273" i="12"/>
  <c r="M271" i="12" s="1"/>
  <c r="P275" i="12"/>
  <c r="P292" i="14"/>
  <c r="M290" i="14"/>
  <c r="P290" i="14" s="1"/>
  <c r="N644" i="3"/>
  <c r="N640" i="3" s="1"/>
  <c r="N638" i="3" s="1"/>
  <c r="N636" i="3" s="1"/>
  <c r="K86" i="4"/>
  <c r="K108" i="4"/>
  <c r="K264" i="4"/>
  <c r="O337" i="4"/>
  <c r="K376" i="4"/>
  <c r="K380" i="4"/>
  <c r="K402" i="4"/>
  <c r="K431" i="4"/>
  <c r="O568" i="4"/>
  <c r="L275" i="5"/>
  <c r="L273" i="5" s="1"/>
  <c r="K497" i="5"/>
  <c r="O597" i="5"/>
  <c r="J651" i="5"/>
  <c r="K219" i="6"/>
  <c r="N252" i="6"/>
  <c r="N250" i="6" s="1"/>
  <c r="K349" i="6"/>
  <c r="K419" i="6"/>
  <c r="O533" i="6"/>
  <c r="K617" i="6"/>
  <c r="K398" i="7"/>
  <c r="O459" i="7"/>
  <c r="K629" i="7"/>
  <c r="K634" i="7"/>
  <c r="P57" i="8"/>
  <c r="N292" i="8"/>
  <c r="N290" i="8" s="1"/>
  <c r="K432" i="8"/>
  <c r="K466" i="8"/>
  <c r="K573" i="8"/>
  <c r="K591" i="8"/>
  <c r="O380" i="9"/>
  <c r="K422" i="9"/>
  <c r="P294" i="11"/>
  <c r="M292" i="11"/>
  <c r="P292" i="11" s="1"/>
  <c r="K428" i="11"/>
  <c r="O535" i="11"/>
  <c r="K499" i="3"/>
  <c r="O584" i="3"/>
  <c r="K117" i="5"/>
  <c r="K345" i="5"/>
  <c r="O568" i="5"/>
  <c r="P144" i="6"/>
  <c r="K266" i="6"/>
  <c r="P292" i="6"/>
  <c r="O349" i="6"/>
  <c r="K422" i="6"/>
  <c r="O455" i="6"/>
  <c r="O564" i="6"/>
  <c r="K630" i="6"/>
  <c r="O648" i="6"/>
  <c r="K92" i="7"/>
  <c r="K199" i="7"/>
  <c r="L224" i="7"/>
  <c r="O224" i="7" s="1"/>
  <c r="O352" i="7"/>
  <c r="K376" i="7"/>
  <c r="O404" i="7"/>
  <c r="K465" i="7"/>
  <c r="K473" i="7"/>
  <c r="K497" i="7"/>
  <c r="O533" i="7"/>
  <c r="O580" i="7"/>
  <c r="K109" i="8"/>
  <c r="K112" i="8"/>
  <c r="K285" i="8"/>
  <c r="L333" i="8"/>
  <c r="O333" i="8" s="1"/>
  <c r="K340" i="8"/>
  <c r="K381" i="8"/>
  <c r="K427" i="8"/>
  <c r="K450" i="8"/>
  <c r="K564" i="8"/>
  <c r="K631" i="8"/>
  <c r="N312" i="9"/>
  <c r="N310" i="9" s="1"/>
  <c r="P337" i="9"/>
  <c r="K375" i="9"/>
  <c r="O401" i="9"/>
  <c r="K423" i="9"/>
  <c r="K81" i="10"/>
  <c r="K117" i="12"/>
  <c r="K235" i="12"/>
  <c r="K474" i="9"/>
  <c r="O535" i="9"/>
  <c r="O661" i="9"/>
  <c r="K665" i="9"/>
  <c r="L98" i="10"/>
  <c r="O98" i="10" s="1"/>
  <c r="O401" i="10"/>
  <c r="K498" i="10"/>
  <c r="K551" i="10"/>
  <c r="K420" i="11"/>
  <c r="K423" i="11"/>
  <c r="O437" i="11"/>
  <c r="K597" i="11"/>
  <c r="P45" i="12"/>
  <c r="K533" i="12"/>
  <c r="P122" i="13"/>
  <c r="K133" i="13"/>
  <c r="L254" i="13"/>
  <c r="O254" i="13" s="1"/>
  <c r="K349" i="13"/>
  <c r="O354" i="13"/>
  <c r="K397" i="13"/>
  <c r="O406" i="13"/>
  <c r="K422" i="13"/>
  <c r="K425" i="13"/>
  <c r="K428" i="13"/>
  <c r="O382" i="15"/>
  <c r="L31" i="15"/>
  <c r="L11" i="15" s="1"/>
  <c r="O11" i="15" s="1"/>
  <c r="K595" i="9"/>
  <c r="K628" i="9"/>
  <c r="O404" i="10"/>
  <c r="O553" i="10"/>
  <c r="K267" i="11"/>
  <c r="N312" i="11"/>
  <c r="N310" i="11" s="1"/>
  <c r="K449" i="11"/>
  <c r="O582" i="11"/>
  <c r="K622" i="11"/>
  <c r="O665" i="11"/>
  <c r="O102" i="12"/>
  <c r="L122" i="12"/>
  <c r="L120" i="12" s="1"/>
  <c r="K249" i="12"/>
  <c r="O352" i="12"/>
  <c r="K425" i="12"/>
  <c r="K473" i="12"/>
  <c r="K497" i="12"/>
  <c r="O568" i="12"/>
  <c r="O337" i="13"/>
  <c r="O349" i="13"/>
  <c r="K498" i="13"/>
  <c r="L640" i="13"/>
  <c r="O640" i="13" s="1"/>
  <c r="N43" i="14"/>
  <c r="N41" i="14" s="1"/>
  <c r="N252" i="14"/>
  <c r="N250" i="14" s="1"/>
  <c r="N292" i="14"/>
  <c r="N290" i="14" s="1"/>
  <c r="M337" i="14"/>
  <c r="M331" i="14" s="1"/>
  <c r="N32" i="14"/>
  <c r="N30" i="14" s="1"/>
  <c r="K580" i="9"/>
  <c r="P337" i="10"/>
  <c r="K397" i="10"/>
  <c r="N644" i="10"/>
  <c r="N640" i="10" s="1"/>
  <c r="N638" i="10" s="1"/>
  <c r="N636" i="10" s="1"/>
  <c r="K201" i="11"/>
  <c r="L275" i="11"/>
  <c r="L273" i="11" s="1"/>
  <c r="L271" i="11" s="1"/>
  <c r="K341" i="11"/>
  <c r="O349" i="11"/>
  <c r="K474" i="11"/>
  <c r="K595" i="11"/>
  <c r="K219" i="12"/>
  <c r="O347" i="12"/>
  <c r="P144" i="13"/>
  <c r="K375" i="13"/>
  <c r="K613" i="13"/>
  <c r="K113" i="14"/>
  <c r="N142" i="14"/>
  <c r="P142" i="14" s="1"/>
  <c r="N222" i="14"/>
  <c r="N220" i="14" s="1"/>
  <c r="P254" i="14"/>
  <c r="P294" i="14"/>
  <c r="L26" i="18"/>
  <c r="L16" i="18" s="1"/>
  <c r="K499" i="9"/>
  <c r="K564" i="10"/>
  <c r="N68" i="11"/>
  <c r="P68" i="11" s="1"/>
  <c r="N331" i="11"/>
  <c r="N329" i="11" s="1"/>
  <c r="K416" i="11"/>
  <c r="K450" i="11"/>
  <c r="P98" i="12"/>
  <c r="K199" i="12"/>
  <c r="O665" i="12"/>
  <c r="N252" i="13"/>
  <c r="N250" i="13" s="1"/>
  <c r="K474" i="13"/>
  <c r="O535" i="13"/>
  <c r="K580" i="13"/>
  <c r="K615" i="13"/>
  <c r="K619" i="13"/>
  <c r="K108" i="14"/>
  <c r="K368" i="14"/>
  <c r="K419" i="14"/>
  <c r="K427" i="14"/>
  <c r="K419" i="16"/>
  <c r="N292" i="18"/>
  <c r="N290" i="18" s="1"/>
  <c r="K635" i="9"/>
  <c r="K173" i="10"/>
  <c r="K341" i="10"/>
  <c r="K419" i="10"/>
  <c r="K424" i="10"/>
  <c r="K450" i="10"/>
  <c r="K481" i="10"/>
  <c r="O599" i="10"/>
  <c r="L122" i="11"/>
  <c r="L120" i="11" s="1"/>
  <c r="K266" i="11"/>
  <c r="K285" i="11"/>
  <c r="P333" i="11"/>
  <c r="O347" i="11"/>
  <c r="K350" i="11"/>
  <c r="L34" i="11"/>
  <c r="K464" i="11"/>
  <c r="K626" i="11"/>
  <c r="K630" i="11"/>
  <c r="K633" i="11"/>
  <c r="L70" i="12"/>
  <c r="O70" i="12" s="1"/>
  <c r="K109" i="12"/>
  <c r="K112" i="12"/>
  <c r="K164" i="12"/>
  <c r="K229" i="12"/>
  <c r="N252" i="12"/>
  <c r="N250" i="12" s="1"/>
  <c r="K285" i="12"/>
  <c r="L333" i="12"/>
  <c r="L331" i="12" s="1"/>
  <c r="L329" i="12" s="1"/>
  <c r="K340" i="12"/>
  <c r="K345" i="12"/>
  <c r="K429" i="12"/>
  <c r="K435" i="12"/>
  <c r="O437" i="12"/>
  <c r="K631" i="12"/>
  <c r="K117" i="13"/>
  <c r="K345" i="13"/>
  <c r="K380" i="13"/>
  <c r="K430" i="13"/>
  <c r="K497" i="13"/>
  <c r="K593" i="13"/>
  <c r="J651" i="13"/>
  <c r="O102" i="14"/>
  <c r="K164" i="14"/>
  <c r="K270" i="14"/>
  <c r="N273" i="14"/>
  <c r="N271" i="14" s="1"/>
  <c r="L333" i="14"/>
  <c r="L331" i="14" s="1"/>
  <c r="O385" i="14"/>
  <c r="K397" i="14"/>
  <c r="K401" i="14"/>
  <c r="K425" i="14"/>
  <c r="K435" i="15"/>
  <c r="M120" i="17"/>
  <c r="P122" i="17"/>
  <c r="K450" i="14"/>
  <c r="K564" i="14"/>
  <c r="N644" i="14"/>
  <c r="N640" i="14" s="1"/>
  <c r="N638" i="14" s="1"/>
  <c r="N636" i="14" s="1"/>
  <c r="K117" i="15"/>
  <c r="P333" i="15"/>
  <c r="K345" i="15"/>
  <c r="K455" i="15"/>
  <c r="K465" i="15"/>
  <c r="K474" i="15"/>
  <c r="O533" i="15"/>
  <c r="K547" i="15"/>
  <c r="K173" i="16"/>
  <c r="K270" i="16"/>
  <c r="N273" i="16"/>
  <c r="N271" i="16" s="1"/>
  <c r="P271" i="16" s="1"/>
  <c r="K285" i="16"/>
  <c r="K425" i="16"/>
  <c r="K428" i="16"/>
  <c r="O568" i="16"/>
  <c r="O584" i="16"/>
  <c r="K620" i="16"/>
  <c r="K185" i="17"/>
  <c r="K189" i="17"/>
  <c r="K368" i="17"/>
  <c r="O385" i="17"/>
  <c r="L34" i="17"/>
  <c r="K623" i="17"/>
  <c r="K64" i="18"/>
  <c r="L70" i="18"/>
  <c r="L68" i="18" s="1"/>
  <c r="L66" i="18" s="1"/>
  <c r="L98" i="18"/>
  <c r="O98" i="18" s="1"/>
  <c r="K112" i="18"/>
  <c r="L144" i="18"/>
  <c r="L142" i="18" s="1"/>
  <c r="O337" i="18"/>
  <c r="O352" i="18"/>
  <c r="K402" i="18"/>
  <c r="K449" i="18"/>
  <c r="N43" i="15"/>
  <c r="N41" i="15" s="1"/>
  <c r="K173" i="15"/>
  <c r="K189" i="15"/>
  <c r="M43" i="16"/>
  <c r="N120" i="16"/>
  <c r="N118" i="16" s="1"/>
  <c r="K200" i="16"/>
  <c r="N34" i="16"/>
  <c r="N14" i="16" s="1"/>
  <c r="K370" i="16"/>
  <c r="K376" i="16"/>
  <c r="O401" i="16"/>
  <c r="K420" i="16"/>
  <c r="K450" i="16"/>
  <c r="L144" i="17"/>
  <c r="O144" i="17" s="1"/>
  <c r="K420" i="17"/>
  <c r="K426" i="17"/>
  <c r="K533" i="17"/>
  <c r="O564" i="17"/>
  <c r="K621" i="17"/>
  <c r="N55" i="18"/>
  <c r="P55" i="18" s="1"/>
  <c r="K482" i="18"/>
  <c r="O597" i="18"/>
  <c r="K616" i="18"/>
  <c r="K632" i="18"/>
  <c r="K665" i="18"/>
  <c r="K430" i="15"/>
  <c r="O537" i="15"/>
  <c r="P122" i="16"/>
  <c r="O352" i="16"/>
  <c r="K372" i="17"/>
  <c r="K449" i="17"/>
  <c r="K465" i="17"/>
  <c r="K474" i="17"/>
  <c r="J651" i="17"/>
  <c r="K88" i="18"/>
  <c r="N33" i="18"/>
  <c r="N13" i="18" s="1"/>
  <c r="K533" i="18"/>
  <c r="K564" i="18"/>
  <c r="N644" i="18"/>
  <c r="N640" i="18" s="1"/>
  <c r="N638" i="18" s="1"/>
  <c r="N636" i="18" s="1"/>
  <c r="O661" i="18"/>
  <c r="K618" i="14"/>
  <c r="L24" i="15"/>
  <c r="O24" i="15" s="1"/>
  <c r="P57" i="15"/>
  <c r="K370" i="15"/>
  <c r="K402" i="15"/>
  <c r="K498" i="15"/>
  <c r="K593" i="16"/>
  <c r="K626" i="16"/>
  <c r="L333" i="17"/>
  <c r="K634" i="17"/>
  <c r="K219" i="18"/>
  <c r="K270" i="18"/>
  <c r="L333" i="18"/>
  <c r="O333" i="18" s="1"/>
  <c r="N31" i="18"/>
  <c r="N29" i="18" s="1"/>
  <c r="K449" i="14"/>
  <c r="K551" i="14"/>
  <c r="K631" i="14"/>
  <c r="K83" i="15"/>
  <c r="K270" i="15"/>
  <c r="K350" i="15"/>
  <c r="N33" i="15"/>
  <c r="N13" i="15" s="1"/>
  <c r="K419" i="15"/>
  <c r="K425" i="15"/>
  <c r="K431" i="15"/>
  <c r="O459" i="15"/>
  <c r="K464" i="15"/>
  <c r="K533" i="15"/>
  <c r="K631" i="15"/>
  <c r="K649" i="15"/>
  <c r="L98" i="16"/>
  <c r="L96" i="16" s="1"/>
  <c r="L275" i="16"/>
  <c r="L273" i="16" s="1"/>
  <c r="O383" i="16"/>
  <c r="K401" i="16"/>
  <c r="K427" i="16"/>
  <c r="K432" i="16"/>
  <c r="O435" i="16"/>
  <c r="K449" i="16"/>
  <c r="K473" i="16"/>
  <c r="K482" i="16"/>
  <c r="O537" i="16"/>
  <c r="K624" i="16"/>
  <c r="K628" i="16"/>
  <c r="O651" i="16"/>
  <c r="L45" i="17"/>
  <c r="O45" i="17" s="1"/>
  <c r="K111" i="17"/>
  <c r="P144" i="17"/>
  <c r="N222" i="17"/>
  <c r="N220" i="17" s="1"/>
  <c r="K370" i="17"/>
  <c r="K376" i="17"/>
  <c r="N33" i="17"/>
  <c r="N13" i="17" s="1"/>
  <c r="K416" i="17"/>
  <c r="O439" i="17"/>
  <c r="K450" i="17"/>
  <c r="O537" i="17"/>
  <c r="O551" i="17"/>
  <c r="K632" i="17"/>
  <c r="K635" i="17"/>
  <c r="O661" i="17"/>
  <c r="P98" i="18"/>
  <c r="K158" i="18"/>
  <c r="K289" i="18"/>
  <c r="K304" i="18"/>
  <c r="K372" i="18"/>
  <c r="K375" i="18"/>
  <c r="K418" i="18"/>
  <c r="K423" i="18"/>
  <c r="K431" i="18"/>
  <c r="K497" i="18"/>
  <c r="O533" i="18"/>
  <c r="O599" i="18"/>
  <c r="K612" i="18"/>
  <c r="K650" i="18"/>
  <c r="O98" i="4"/>
  <c r="L96" i="4"/>
  <c r="M329" i="3"/>
  <c r="L57" i="2"/>
  <c r="O57" i="2" s="1"/>
  <c r="L122" i="2"/>
  <c r="O122" i="2" s="1"/>
  <c r="K229" i="2"/>
  <c r="I367" i="2"/>
  <c r="K367" i="2" s="1"/>
  <c r="K427" i="2"/>
  <c r="K593" i="2"/>
  <c r="K612" i="2"/>
  <c r="K614" i="2"/>
  <c r="K616" i="2"/>
  <c r="K618" i="2"/>
  <c r="K625" i="2"/>
  <c r="N43" i="3"/>
  <c r="N41" i="3" s="1"/>
  <c r="N55" i="3"/>
  <c r="N53" i="3" s="1"/>
  <c r="J135" i="1"/>
  <c r="M294" i="1"/>
  <c r="J300" i="1"/>
  <c r="P333" i="3"/>
  <c r="I339" i="1"/>
  <c r="K339" i="1" s="1"/>
  <c r="L568" i="1"/>
  <c r="N580" i="1"/>
  <c r="J623" i="1"/>
  <c r="L640" i="3"/>
  <c r="N55" i="4"/>
  <c r="P70" i="4"/>
  <c r="J132" i="1"/>
  <c r="J138" i="1"/>
  <c r="N222" i="4"/>
  <c r="N220" i="4" s="1"/>
  <c r="P220" i="4" s="1"/>
  <c r="J235" i="1"/>
  <c r="P337" i="4"/>
  <c r="M142" i="5"/>
  <c r="L314" i="5"/>
  <c r="L312" i="5" s="1"/>
  <c r="J323" i="1"/>
  <c r="K466" i="5"/>
  <c r="K564" i="5"/>
  <c r="M22" i="8"/>
  <c r="M12" i="8" s="1"/>
  <c r="P144" i="8"/>
  <c r="M142" i="8"/>
  <c r="M96" i="2"/>
  <c r="P96" i="2" s="1"/>
  <c r="K132" i="2"/>
  <c r="K270" i="2"/>
  <c r="O380" i="2"/>
  <c r="O385" i="2"/>
  <c r="K419" i="2"/>
  <c r="K422" i="2"/>
  <c r="K425" i="2"/>
  <c r="K430" i="2"/>
  <c r="O564" i="2"/>
  <c r="K623" i="2"/>
  <c r="L45" i="3"/>
  <c r="O45" i="3" s="1"/>
  <c r="J64" i="1"/>
  <c r="K64" i="1" s="1"/>
  <c r="J82" i="1"/>
  <c r="J88" i="1"/>
  <c r="N126" i="1"/>
  <c r="K158" i="3"/>
  <c r="J196" i="1"/>
  <c r="L224" i="3"/>
  <c r="L222" i="3" s="1"/>
  <c r="K249" i="3"/>
  <c r="K264" i="3"/>
  <c r="K267" i="3"/>
  <c r="L349" i="1"/>
  <c r="N533" i="1"/>
  <c r="O566" i="3"/>
  <c r="K616" i="3"/>
  <c r="J621" i="1"/>
  <c r="J667" i="1"/>
  <c r="P57" i="4"/>
  <c r="L70" i="4"/>
  <c r="L68" i="4" s="1"/>
  <c r="L66" i="4" s="1"/>
  <c r="P122" i="4"/>
  <c r="M140" i="4"/>
  <c r="L254" i="4"/>
  <c r="O254" i="4" s="1"/>
  <c r="K266" i="4"/>
  <c r="K285" i="4"/>
  <c r="K324" i="4"/>
  <c r="L333" i="4"/>
  <c r="O333" i="4" s="1"/>
  <c r="O349" i="4"/>
  <c r="K377" i="4"/>
  <c r="K425" i="4"/>
  <c r="K455" i="4"/>
  <c r="J476" i="1"/>
  <c r="K481" i="4"/>
  <c r="K499" i="4"/>
  <c r="K619" i="4"/>
  <c r="K630" i="4"/>
  <c r="M102" i="5"/>
  <c r="M26" i="5" s="1"/>
  <c r="K113" i="5"/>
  <c r="L144" i="5"/>
  <c r="O144" i="5" s="1"/>
  <c r="M222" i="5"/>
  <c r="N26" i="5"/>
  <c r="N16" i="5" s="1"/>
  <c r="K340" i="5"/>
  <c r="K343" i="5"/>
  <c r="K423" i="5"/>
  <c r="K573" i="5"/>
  <c r="K580" i="5"/>
  <c r="O582" i="5"/>
  <c r="N43" i="6"/>
  <c r="N41" i="6" s="1"/>
  <c r="K371" i="6"/>
  <c r="I367" i="6"/>
  <c r="K367" i="6" s="1"/>
  <c r="K533" i="6"/>
  <c r="L57" i="7"/>
  <c r="O57" i="7" s="1"/>
  <c r="L23" i="7"/>
  <c r="O23" i="7" s="1"/>
  <c r="L275" i="7"/>
  <c r="K401" i="7"/>
  <c r="K164" i="8"/>
  <c r="M220" i="8"/>
  <c r="K266" i="8"/>
  <c r="K589" i="8"/>
  <c r="K634" i="8"/>
  <c r="N68" i="3"/>
  <c r="J185" i="1"/>
  <c r="J188" i="1"/>
  <c r="J197" i="1"/>
  <c r="J213" i="1"/>
  <c r="J216" i="1"/>
  <c r="J243" i="1"/>
  <c r="N252" i="3"/>
  <c r="N250" i="3" s="1"/>
  <c r="J267" i="1"/>
  <c r="N34" i="3"/>
  <c r="N14" i="3" s="1"/>
  <c r="N31" i="3"/>
  <c r="N29" i="3" s="1"/>
  <c r="L564" i="1"/>
  <c r="J658" i="1"/>
  <c r="J665" i="1"/>
  <c r="J672" i="1"/>
  <c r="J361" i="1"/>
  <c r="J550" i="1"/>
  <c r="J620" i="1"/>
  <c r="J633" i="1"/>
  <c r="J265" i="1"/>
  <c r="K265" i="1" s="1"/>
  <c r="I367" i="5"/>
  <c r="K367" i="5" s="1"/>
  <c r="P314" i="8"/>
  <c r="M312" i="8"/>
  <c r="N26" i="2"/>
  <c r="N16" i="2" s="1"/>
  <c r="P122" i="2"/>
  <c r="L275" i="2"/>
  <c r="O275" i="2" s="1"/>
  <c r="K381" i="2"/>
  <c r="K398" i="2"/>
  <c r="O401" i="2"/>
  <c r="O404" i="2"/>
  <c r="K417" i="2"/>
  <c r="K420" i="2"/>
  <c r="K423" i="2"/>
  <c r="K431" i="2"/>
  <c r="K455" i="2"/>
  <c r="O459" i="2"/>
  <c r="O537" i="2"/>
  <c r="O568" i="2"/>
  <c r="K611" i="2"/>
  <c r="K613" i="2"/>
  <c r="K615" i="2"/>
  <c r="K617" i="2"/>
  <c r="P70" i="3"/>
  <c r="N96" i="3"/>
  <c r="N94" i="3" s="1"/>
  <c r="J160" i="1"/>
  <c r="K173" i="3"/>
  <c r="J181" i="1"/>
  <c r="I189" i="1"/>
  <c r="K201" i="3"/>
  <c r="P254" i="3"/>
  <c r="K265" i="3"/>
  <c r="P275" i="3"/>
  <c r="K285" i="3"/>
  <c r="I345" i="1"/>
  <c r="K377" i="3"/>
  <c r="O380" i="3"/>
  <c r="K397" i="3"/>
  <c r="J425" i="1"/>
  <c r="K435" i="3"/>
  <c r="O439" i="3"/>
  <c r="N557" i="1"/>
  <c r="I561" i="1"/>
  <c r="J589" i="1"/>
  <c r="N600" i="1"/>
  <c r="N605" i="1"/>
  <c r="J611" i="1"/>
  <c r="K614" i="3"/>
  <c r="K634" i="3"/>
  <c r="K93" i="4"/>
  <c r="N96" i="4"/>
  <c r="N94" i="4" s="1"/>
  <c r="K199" i="4"/>
  <c r="J201" i="1"/>
  <c r="J218" i="1"/>
  <c r="P314" i="4"/>
  <c r="M331" i="4"/>
  <c r="K345" i="4"/>
  <c r="N352" i="1"/>
  <c r="O383" i="4"/>
  <c r="K421" i="4"/>
  <c r="J433" i="1"/>
  <c r="O439" i="4"/>
  <c r="J445" i="1"/>
  <c r="K464" i="4"/>
  <c r="K474" i="4"/>
  <c r="K547" i="4"/>
  <c r="K551" i="4"/>
  <c r="K595" i="4"/>
  <c r="K628" i="4"/>
  <c r="K634" i="4"/>
  <c r="O661" i="4"/>
  <c r="P57" i="5"/>
  <c r="K108" i="5"/>
  <c r="K111" i="5"/>
  <c r="J114" i="1"/>
  <c r="J262" i="1"/>
  <c r="O337" i="5"/>
  <c r="K380" i="5"/>
  <c r="O401" i="5"/>
  <c r="K450" i="5"/>
  <c r="K465" i="5"/>
  <c r="K499" i="5"/>
  <c r="K111" i="6"/>
  <c r="K132" i="6"/>
  <c r="L34" i="6"/>
  <c r="J412" i="1"/>
  <c r="O599" i="6"/>
  <c r="K235" i="7"/>
  <c r="O354" i="7"/>
  <c r="M53" i="8"/>
  <c r="K473" i="8"/>
  <c r="K497" i="8"/>
  <c r="K597" i="8"/>
  <c r="M22" i="2"/>
  <c r="M20" i="2" s="1"/>
  <c r="K149" i="2"/>
  <c r="P224" i="2"/>
  <c r="K345" i="2"/>
  <c r="K396" i="2"/>
  <c r="K449" i="2"/>
  <c r="K465" i="2"/>
  <c r="J156" i="1"/>
  <c r="J169" i="1"/>
  <c r="J234" i="1"/>
  <c r="J285" i="1"/>
  <c r="L316" i="1"/>
  <c r="I343" i="1"/>
  <c r="N355" i="1"/>
  <c r="J362" i="1"/>
  <c r="J366" i="1"/>
  <c r="I375" i="1"/>
  <c r="J544" i="1"/>
  <c r="J634" i="1"/>
  <c r="O102" i="4"/>
  <c r="J199" i="1"/>
  <c r="I367" i="4"/>
  <c r="K367" i="4" s="1"/>
  <c r="J413" i="1"/>
  <c r="L458" i="1"/>
  <c r="O458" i="1" s="1"/>
  <c r="J575" i="1"/>
  <c r="O148" i="8"/>
  <c r="M220" i="2"/>
  <c r="K595" i="2"/>
  <c r="M66" i="3"/>
  <c r="J104" i="1"/>
  <c r="M120" i="3"/>
  <c r="P120" i="3" s="1"/>
  <c r="N32" i="3"/>
  <c r="N30" i="3" s="1"/>
  <c r="N572" i="1"/>
  <c r="J578" i="1"/>
  <c r="K612" i="3"/>
  <c r="N22" i="4"/>
  <c r="M292" i="4"/>
  <c r="P292" i="4" s="1"/>
  <c r="N31" i="4"/>
  <c r="N644" i="4"/>
  <c r="N640" i="4" s="1"/>
  <c r="N638" i="4" s="1"/>
  <c r="N636" i="4" s="1"/>
  <c r="K132" i="5"/>
  <c r="J342" i="1"/>
  <c r="J360" i="1"/>
  <c r="J365" i="1"/>
  <c r="J368" i="1"/>
  <c r="J374" i="1"/>
  <c r="N389" i="1"/>
  <c r="J396" i="1"/>
  <c r="O404" i="5"/>
  <c r="N33" i="5"/>
  <c r="N13" i="5" s="1"/>
  <c r="M53" i="6"/>
  <c r="P254" i="8"/>
  <c r="M252" i="8"/>
  <c r="P275" i="10"/>
  <c r="M273" i="10"/>
  <c r="M271" i="10" s="1"/>
  <c r="M118" i="11"/>
  <c r="K595" i="5"/>
  <c r="K628" i="5"/>
  <c r="K631" i="5"/>
  <c r="K634" i="5"/>
  <c r="P57" i="6"/>
  <c r="J86" i="1"/>
  <c r="K88" i="6"/>
  <c r="K93" i="6"/>
  <c r="L224" i="6"/>
  <c r="O347" i="6"/>
  <c r="N32" i="6"/>
  <c r="N30" i="6" s="1"/>
  <c r="K376" i="6"/>
  <c r="O401" i="6"/>
  <c r="O406" i="6"/>
  <c r="K417" i="6"/>
  <c r="K429" i="6"/>
  <c r="K449" i="6"/>
  <c r="K474" i="6"/>
  <c r="K499" i="6"/>
  <c r="K619" i="6"/>
  <c r="K629" i="6"/>
  <c r="O661" i="6"/>
  <c r="N53" i="7"/>
  <c r="K87" i="7"/>
  <c r="P98" i="7"/>
  <c r="K109" i="7"/>
  <c r="K138" i="7"/>
  <c r="K204" i="7"/>
  <c r="L254" i="7"/>
  <c r="L252" i="7" s="1"/>
  <c r="O252" i="7" s="1"/>
  <c r="M292" i="7"/>
  <c r="P292" i="7" s="1"/>
  <c r="L294" i="7"/>
  <c r="O294" i="7" s="1"/>
  <c r="K345" i="7"/>
  <c r="K368" i="7"/>
  <c r="K419" i="7"/>
  <c r="K425" i="7"/>
  <c r="K431" i="7"/>
  <c r="I517" i="1"/>
  <c r="I520" i="1"/>
  <c r="I523" i="1"/>
  <c r="I526" i="1"/>
  <c r="I529" i="1"/>
  <c r="I532" i="1"/>
  <c r="N31" i="7"/>
  <c r="N29" i="7" s="1"/>
  <c r="J593" i="1"/>
  <c r="N598" i="1"/>
  <c r="K612" i="7"/>
  <c r="K624" i="7"/>
  <c r="K630" i="7"/>
  <c r="K173" i="8"/>
  <c r="K189" i="8"/>
  <c r="L224" i="8"/>
  <c r="L222" i="8" s="1"/>
  <c r="K270" i="8"/>
  <c r="O354" i="8"/>
  <c r="O380" i="8"/>
  <c r="K396" i="8"/>
  <c r="O406" i="8"/>
  <c r="K426" i="8"/>
  <c r="K464" i="8"/>
  <c r="O580" i="8"/>
  <c r="K618" i="8"/>
  <c r="K615" i="8"/>
  <c r="M68" i="9"/>
  <c r="M96" i="9"/>
  <c r="L333" i="9"/>
  <c r="O333" i="9" s="1"/>
  <c r="L45" i="10"/>
  <c r="O45" i="10" s="1"/>
  <c r="K164" i="10"/>
  <c r="L224" i="10"/>
  <c r="O224" i="10" s="1"/>
  <c r="P333" i="10"/>
  <c r="O437" i="10"/>
  <c r="O405" i="11"/>
  <c r="L33" i="11"/>
  <c r="O33" i="11" s="1"/>
  <c r="K593" i="5"/>
  <c r="J84" i="1"/>
  <c r="N33" i="6"/>
  <c r="N13" i="6" s="1"/>
  <c r="N34" i="8"/>
  <c r="N14" i="8" s="1"/>
  <c r="M55" i="9"/>
  <c r="P57" i="9"/>
  <c r="P314" i="10"/>
  <c r="M312" i="10"/>
  <c r="P312" i="10" s="1"/>
  <c r="N602" i="1"/>
  <c r="K635" i="5"/>
  <c r="K110" i="6"/>
  <c r="K117" i="6"/>
  <c r="K158" i="6"/>
  <c r="K249" i="6"/>
  <c r="K264" i="6"/>
  <c r="N331" i="6"/>
  <c r="K340" i="6"/>
  <c r="K343" i="6"/>
  <c r="K350" i="6"/>
  <c r="K372" i="6"/>
  <c r="O385" i="6"/>
  <c r="O404" i="6"/>
  <c r="K425" i="6"/>
  <c r="O437" i="6"/>
  <c r="K465" i="6"/>
  <c r="K497" i="6"/>
  <c r="N31" i="6"/>
  <c r="N29" i="6" s="1"/>
  <c r="K650" i="6"/>
  <c r="O49" i="7"/>
  <c r="K113" i="7"/>
  <c r="M120" i="7"/>
  <c r="P120" i="7" s="1"/>
  <c r="K219" i="7"/>
  <c r="P275" i="7"/>
  <c r="L314" i="7"/>
  <c r="L312" i="7" s="1"/>
  <c r="N331" i="7"/>
  <c r="N329" i="7" s="1"/>
  <c r="K341" i="7"/>
  <c r="K396" i="7"/>
  <c r="K417" i="7"/>
  <c r="K423" i="7"/>
  <c r="K429" i="7"/>
  <c r="K455" i="7"/>
  <c r="K533" i="7"/>
  <c r="K580" i="7"/>
  <c r="K620" i="7"/>
  <c r="P70" i="8"/>
  <c r="N26" i="8"/>
  <c r="N16" i="8" s="1"/>
  <c r="K80" i="8"/>
  <c r="K110" i="8"/>
  <c r="K149" i="8"/>
  <c r="K215" i="8"/>
  <c r="K219" i="8"/>
  <c r="K265" i="8"/>
  <c r="M337" i="8"/>
  <c r="M331" i="8" s="1"/>
  <c r="K350" i="8"/>
  <c r="N32" i="8"/>
  <c r="N30" i="8" s="1"/>
  <c r="I367" i="8"/>
  <c r="K367" i="8" s="1"/>
  <c r="K422" i="8"/>
  <c r="O437" i="8"/>
  <c r="O457" i="8"/>
  <c r="K611" i="8"/>
  <c r="K633" i="8"/>
  <c r="N55" i="9"/>
  <c r="N53" i="9" s="1"/>
  <c r="O102" i="9"/>
  <c r="K173" i="9"/>
  <c r="N32" i="9"/>
  <c r="N30" i="9" s="1"/>
  <c r="K616" i="9"/>
  <c r="P70" i="10"/>
  <c r="L294" i="10"/>
  <c r="K428" i="10"/>
  <c r="K464" i="10"/>
  <c r="K547" i="10"/>
  <c r="K625" i="10"/>
  <c r="K624" i="10"/>
  <c r="K626" i="10"/>
  <c r="K622" i="10"/>
  <c r="N644" i="5"/>
  <c r="N640" i="5" s="1"/>
  <c r="N638" i="5" s="1"/>
  <c r="N636" i="5" s="1"/>
  <c r="L144" i="6"/>
  <c r="O144" i="6" s="1"/>
  <c r="K370" i="6"/>
  <c r="K375" i="6"/>
  <c r="K423" i="6"/>
  <c r="O435" i="6"/>
  <c r="K473" i="6"/>
  <c r="O650" i="6"/>
  <c r="N644" i="6"/>
  <c r="N640" i="6" s="1"/>
  <c r="N638" i="6" s="1"/>
  <c r="N636" i="6" s="1"/>
  <c r="M140" i="7"/>
  <c r="K619" i="7"/>
  <c r="K618" i="7"/>
  <c r="N644" i="7"/>
  <c r="N640" i="7" s="1"/>
  <c r="N638" i="7" s="1"/>
  <c r="N636" i="7" s="1"/>
  <c r="L24" i="8"/>
  <c r="O24" i="8" s="1"/>
  <c r="O74" i="8"/>
  <c r="M292" i="8"/>
  <c r="K418" i="9"/>
  <c r="K619" i="9"/>
  <c r="K618" i="9"/>
  <c r="K612" i="9"/>
  <c r="O380" i="10"/>
  <c r="O457" i="10"/>
  <c r="M55" i="11"/>
  <c r="P57" i="11"/>
  <c r="K630" i="5"/>
  <c r="K81" i="6"/>
  <c r="L98" i="6"/>
  <c r="O98" i="6" s="1"/>
  <c r="P224" i="6"/>
  <c r="K235" i="6"/>
  <c r="P254" i="6"/>
  <c r="N22" i="6"/>
  <c r="L333" i="6"/>
  <c r="O333" i="6" s="1"/>
  <c r="K381" i="6"/>
  <c r="K421" i="6"/>
  <c r="K455" i="6"/>
  <c r="K481" i="6"/>
  <c r="K547" i="6"/>
  <c r="K564" i="6"/>
  <c r="O566" i="6"/>
  <c r="P45" i="7"/>
  <c r="P57" i="7"/>
  <c r="K64" i="7"/>
  <c r="O102" i="7"/>
  <c r="K111" i="7"/>
  <c r="P144" i="7"/>
  <c r="K158" i="7"/>
  <c r="K189" i="7"/>
  <c r="M22" i="7"/>
  <c r="M12" i="7" s="1"/>
  <c r="O349" i="7"/>
  <c r="K372" i="7"/>
  <c r="K375" i="7"/>
  <c r="O380" i="7"/>
  <c r="O383" i="7"/>
  <c r="N34" i="7"/>
  <c r="N14" i="7" s="1"/>
  <c r="K499" i="7"/>
  <c r="K616" i="7"/>
  <c r="O49" i="8"/>
  <c r="N96" i="8"/>
  <c r="N94" i="8" s="1"/>
  <c r="M120" i="8"/>
  <c r="M118" i="8" s="1"/>
  <c r="K200" i="8"/>
  <c r="K204" i="8"/>
  <c r="L294" i="8"/>
  <c r="O294" i="8" s="1"/>
  <c r="K370" i="8"/>
  <c r="K418" i="8"/>
  <c r="K430" i="8"/>
  <c r="O535" i="8"/>
  <c r="O584" i="8"/>
  <c r="K629" i="8"/>
  <c r="K229" i="9"/>
  <c r="K482" i="9"/>
  <c r="K64" i="10"/>
  <c r="O601" i="10"/>
  <c r="K132" i="11"/>
  <c r="L122" i="9"/>
  <c r="O122" i="9" s="1"/>
  <c r="K398" i="9"/>
  <c r="K473" i="9"/>
  <c r="K497" i="9"/>
  <c r="O582" i="9"/>
  <c r="K597" i="9"/>
  <c r="K626" i="9"/>
  <c r="M120" i="10"/>
  <c r="O580" i="10"/>
  <c r="K614" i="10"/>
  <c r="K620" i="10"/>
  <c r="N43" i="11"/>
  <c r="N41" i="11" s="1"/>
  <c r="P122" i="11"/>
  <c r="K368" i="11"/>
  <c r="L57" i="9"/>
  <c r="O57" i="9" s="1"/>
  <c r="N252" i="9"/>
  <c r="N250" i="9" s="1"/>
  <c r="M292" i="9"/>
  <c r="P292" i="9" s="1"/>
  <c r="J303" i="1"/>
  <c r="K343" i="9"/>
  <c r="N31" i="9"/>
  <c r="K614" i="9"/>
  <c r="K624" i="9"/>
  <c r="L70" i="10"/>
  <c r="L68" i="10" s="1"/>
  <c r="K86" i="10"/>
  <c r="L122" i="10"/>
  <c r="O122" i="10" s="1"/>
  <c r="K465" i="10"/>
  <c r="O537" i="10"/>
  <c r="O566" i="10"/>
  <c r="K629" i="10"/>
  <c r="O406" i="11"/>
  <c r="K430" i="11"/>
  <c r="O435" i="11"/>
  <c r="O455" i="11"/>
  <c r="K473" i="11"/>
  <c r="O584" i="11"/>
  <c r="P45" i="9"/>
  <c r="K219" i="9"/>
  <c r="O337" i="9"/>
  <c r="K341" i="9"/>
  <c r="K377" i="9"/>
  <c r="K396" i="9"/>
  <c r="K435" i="9"/>
  <c r="K481" i="9"/>
  <c r="O568" i="9"/>
  <c r="K573" i="9"/>
  <c r="O580" i="9"/>
  <c r="K622" i="9"/>
  <c r="O650" i="9"/>
  <c r="K499" i="10"/>
  <c r="O564" i="10"/>
  <c r="K618" i="10"/>
  <c r="K630" i="10"/>
  <c r="L70" i="11"/>
  <c r="L68" i="11" s="1"/>
  <c r="P144" i="11"/>
  <c r="M142" i="11"/>
  <c r="N252" i="11"/>
  <c r="N250" i="11" s="1"/>
  <c r="O354" i="11"/>
  <c r="K381" i="11"/>
  <c r="K425" i="11"/>
  <c r="K612" i="11"/>
  <c r="N644" i="11"/>
  <c r="N640" i="11" s="1"/>
  <c r="N638" i="11" s="1"/>
  <c r="N636" i="11" s="1"/>
  <c r="K450" i="9"/>
  <c r="O566" i="9"/>
  <c r="K158" i="10"/>
  <c r="N252" i="10"/>
  <c r="N250" i="10" s="1"/>
  <c r="M331" i="10"/>
  <c r="M329" i="10" s="1"/>
  <c r="O347" i="10"/>
  <c r="K473" i="10"/>
  <c r="K497" i="10"/>
  <c r="K580" i="10"/>
  <c r="K619" i="10"/>
  <c r="K84" i="11"/>
  <c r="P254" i="11"/>
  <c r="M252" i="11"/>
  <c r="M250" i="11" s="1"/>
  <c r="K149" i="9"/>
  <c r="O349" i="9"/>
  <c r="K465" i="9"/>
  <c r="O564" i="9"/>
  <c r="K629" i="9"/>
  <c r="K632" i="9"/>
  <c r="O668" i="9"/>
  <c r="N68" i="10"/>
  <c r="N66" i="10" s="1"/>
  <c r="L144" i="10"/>
  <c r="O144" i="10" s="1"/>
  <c r="K285" i="10"/>
  <c r="N331" i="10"/>
  <c r="N329" i="10" s="1"/>
  <c r="K345" i="10"/>
  <c r="K597" i="10"/>
  <c r="K628" i="10"/>
  <c r="L224" i="11"/>
  <c r="O224" i="11" s="1"/>
  <c r="K376" i="11"/>
  <c r="K418" i="11"/>
  <c r="K426" i="11"/>
  <c r="O459" i="11"/>
  <c r="M252" i="13"/>
  <c r="M250" i="13" s="1"/>
  <c r="P250" i="13" s="1"/>
  <c r="P254" i="13"/>
  <c r="M220" i="11"/>
  <c r="M312" i="11"/>
  <c r="P312" i="11" s="1"/>
  <c r="O337" i="11"/>
  <c r="I367" i="11"/>
  <c r="K367" i="11" s="1"/>
  <c r="K435" i="11"/>
  <c r="K589" i="11"/>
  <c r="K620" i="11"/>
  <c r="J671" i="11"/>
  <c r="M222" i="12"/>
  <c r="M252" i="12"/>
  <c r="M337" i="12"/>
  <c r="M26" i="12" s="1"/>
  <c r="I367" i="12"/>
  <c r="K367" i="12" s="1"/>
  <c r="M292" i="13"/>
  <c r="M250" i="14"/>
  <c r="P250" i="14" s="1"/>
  <c r="P252" i="14"/>
  <c r="N33" i="14"/>
  <c r="N13" i="14" s="1"/>
  <c r="M41" i="15"/>
  <c r="K164" i="11"/>
  <c r="K199" i="11"/>
  <c r="K264" i="11"/>
  <c r="K397" i="11"/>
  <c r="K499" i="11"/>
  <c r="O568" i="11"/>
  <c r="K573" i="11"/>
  <c r="K634" i="11"/>
  <c r="K92" i="12"/>
  <c r="K132" i="12"/>
  <c r="K158" i="12"/>
  <c r="K173" i="12"/>
  <c r="L224" i="12"/>
  <c r="L222" i="12" s="1"/>
  <c r="L254" i="12"/>
  <c r="O254" i="12" s="1"/>
  <c r="K265" i="12"/>
  <c r="M312" i="12"/>
  <c r="K349" i="12"/>
  <c r="K372" i="12"/>
  <c r="K398" i="12"/>
  <c r="K426" i="12"/>
  <c r="O459" i="12"/>
  <c r="K464" i="12"/>
  <c r="K630" i="12"/>
  <c r="K343" i="13"/>
  <c r="K465" i="13"/>
  <c r="P275" i="14"/>
  <c r="M273" i="14"/>
  <c r="K497" i="11"/>
  <c r="O566" i="11"/>
  <c r="K632" i="11"/>
  <c r="L314" i="12"/>
  <c r="O314" i="12" s="1"/>
  <c r="K370" i="12"/>
  <c r="K396" i="12"/>
  <c r="O406" i="12"/>
  <c r="K424" i="12"/>
  <c r="O439" i="12"/>
  <c r="O457" i="12"/>
  <c r="K474" i="12"/>
  <c r="K498" i="12"/>
  <c r="K613" i="12"/>
  <c r="L640" i="12"/>
  <c r="L638" i="12" s="1"/>
  <c r="N22" i="13"/>
  <c r="O298" i="13"/>
  <c r="K341" i="13"/>
  <c r="K473" i="13"/>
  <c r="O74" i="14"/>
  <c r="P224" i="14"/>
  <c r="K377" i="14"/>
  <c r="K618" i="12"/>
  <c r="K611" i="12"/>
  <c r="K619" i="12"/>
  <c r="K345" i="11"/>
  <c r="K398" i="11"/>
  <c r="O401" i="11"/>
  <c r="K481" i="11"/>
  <c r="K580" i="11"/>
  <c r="K593" i="11"/>
  <c r="K624" i="11"/>
  <c r="K628" i="11"/>
  <c r="K93" i="12"/>
  <c r="P144" i="12"/>
  <c r="K200" i="12"/>
  <c r="K402" i="12"/>
  <c r="K420" i="12"/>
  <c r="K432" i="12"/>
  <c r="O435" i="12"/>
  <c r="K482" i="12"/>
  <c r="K547" i="12"/>
  <c r="K164" i="13"/>
  <c r="K499" i="13"/>
  <c r="K341" i="14"/>
  <c r="K421" i="14"/>
  <c r="M220" i="15"/>
  <c r="P222" i="15"/>
  <c r="K665" i="12"/>
  <c r="M68" i="13"/>
  <c r="P68" i="13" s="1"/>
  <c r="L24" i="13"/>
  <c r="O24" i="13" s="1"/>
  <c r="K199" i="13"/>
  <c r="O404" i="13"/>
  <c r="N34" i="13"/>
  <c r="N14" i="13" s="1"/>
  <c r="K617" i="13"/>
  <c r="P45" i="14"/>
  <c r="K92" i="14"/>
  <c r="M222" i="14"/>
  <c r="O380" i="14"/>
  <c r="K482" i="14"/>
  <c r="K560" i="14"/>
  <c r="K593" i="14"/>
  <c r="K619" i="14"/>
  <c r="K635" i="14"/>
  <c r="P45" i="15"/>
  <c r="K149" i="15"/>
  <c r="K158" i="15"/>
  <c r="K199" i="15"/>
  <c r="L254" i="15"/>
  <c r="L252" i="15" s="1"/>
  <c r="O535" i="12"/>
  <c r="K617" i="12"/>
  <c r="K628" i="12"/>
  <c r="J651" i="12"/>
  <c r="L57" i="13"/>
  <c r="O57" i="13" s="1"/>
  <c r="L222" i="13"/>
  <c r="M331" i="13"/>
  <c r="M329" i="13" s="1"/>
  <c r="O385" i="13"/>
  <c r="N32" i="13"/>
  <c r="N30" i="13" s="1"/>
  <c r="K423" i="13"/>
  <c r="K449" i="13"/>
  <c r="K455" i="13"/>
  <c r="K564" i="13"/>
  <c r="O582" i="13"/>
  <c r="K635" i="13"/>
  <c r="L57" i="14"/>
  <c r="K110" i="14"/>
  <c r="K235" i="14"/>
  <c r="L275" i="14"/>
  <c r="O275" i="14" s="1"/>
  <c r="K381" i="14"/>
  <c r="K547" i="14"/>
  <c r="K617" i="14"/>
  <c r="L45" i="15"/>
  <c r="O45" i="15" s="1"/>
  <c r="K138" i="15"/>
  <c r="O228" i="15"/>
  <c r="I367" i="15"/>
  <c r="K367" i="15" s="1"/>
  <c r="K369" i="15"/>
  <c r="N33" i="13"/>
  <c r="N13" i="13" s="1"/>
  <c r="N26" i="14"/>
  <c r="N16" i="14" s="1"/>
  <c r="M271" i="15"/>
  <c r="O597" i="12"/>
  <c r="K615" i="12"/>
  <c r="N26" i="13"/>
  <c r="N16" i="13" s="1"/>
  <c r="K132" i="13"/>
  <c r="K149" i="13"/>
  <c r="K158" i="13"/>
  <c r="L275" i="13"/>
  <c r="L273" i="13" s="1"/>
  <c r="P333" i="13"/>
  <c r="K421" i="13"/>
  <c r="K424" i="13"/>
  <c r="K427" i="13"/>
  <c r="K618" i="13"/>
  <c r="K628" i="13"/>
  <c r="N96" i="14"/>
  <c r="N94" i="14" s="1"/>
  <c r="P144" i="14"/>
  <c r="K149" i="14"/>
  <c r="K158" i="14"/>
  <c r="K189" i="14"/>
  <c r="K199" i="14"/>
  <c r="K285" i="14"/>
  <c r="I367" i="14"/>
  <c r="K367" i="14" s="1"/>
  <c r="K380" i="14"/>
  <c r="K396" i="14"/>
  <c r="K464" i="14"/>
  <c r="K613" i="14"/>
  <c r="K629" i="14"/>
  <c r="P294" i="15"/>
  <c r="M292" i="15"/>
  <c r="O347" i="15"/>
  <c r="K381" i="15"/>
  <c r="M140" i="16"/>
  <c r="K635" i="12"/>
  <c r="L144" i="13"/>
  <c r="K285" i="13"/>
  <c r="K328" i="13"/>
  <c r="L333" i="13"/>
  <c r="L331" i="13" s="1"/>
  <c r="L329" i="13" s="1"/>
  <c r="K376" i="13"/>
  <c r="K381" i="13"/>
  <c r="K398" i="13"/>
  <c r="O537" i="13"/>
  <c r="K591" i="13"/>
  <c r="K611" i="13"/>
  <c r="K629" i="13"/>
  <c r="N644" i="13"/>
  <c r="N640" i="13" s="1"/>
  <c r="N638" i="13" s="1"/>
  <c r="N636" i="13" s="1"/>
  <c r="L98" i="14"/>
  <c r="L144" i="14"/>
  <c r="L142" i="14" s="1"/>
  <c r="K173" i="14"/>
  <c r="L294" i="14"/>
  <c r="O294" i="14" s="1"/>
  <c r="M312" i="14"/>
  <c r="K372" i="14"/>
  <c r="N31" i="14"/>
  <c r="N11" i="14" s="1"/>
  <c r="N9" i="14" s="1"/>
  <c r="K416" i="14"/>
  <c r="K428" i="14"/>
  <c r="O457" i="14"/>
  <c r="K474" i="14"/>
  <c r="K498" i="14"/>
  <c r="O551" i="14"/>
  <c r="K589" i="14"/>
  <c r="K595" i="14"/>
  <c r="O597" i="14"/>
  <c r="N292" i="15"/>
  <c r="P314" i="15"/>
  <c r="M312" i="15"/>
  <c r="P312" i="15" s="1"/>
  <c r="O337" i="15"/>
  <c r="K349" i="15"/>
  <c r="K372" i="15"/>
  <c r="K401" i="15"/>
  <c r="J651" i="15"/>
  <c r="K651" i="15" s="1"/>
  <c r="L57" i="16"/>
  <c r="O57" i="16" s="1"/>
  <c r="M74" i="16"/>
  <c r="P144" i="16"/>
  <c r="M312" i="16"/>
  <c r="P312" i="16" s="1"/>
  <c r="O439" i="16"/>
  <c r="O455" i="16"/>
  <c r="O564" i="16"/>
  <c r="K621" i="16"/>
  <c r="K623" i="16"/>
  <c r="L98" i="17"/>
  <c r="O98" i="17" s="1"/>
  <c r="K112" i="17"/>
  <c r="K200" i="17"/>
  <c r="M273" i="17"/>
  <c r="N312" i="17"/>
  <c r="N310" i="17" s="1"/>
  <c r="P294" i="18"/>
  <c r="M292" i="18"/>
  <c r="N312" i="18"/>
  <c r="N310" i="18" s="1"/>
  <c r="N26" i="15"/>
  <c r="N16" i="15" s="1"/>
  <c r="K229" i="15"/>
  <c r="L314" i="15"/>
  <c r="O314" i="15" s="1"/>
  <c r="O665" i="15"/>
  <c r="N43" i="16"/>
  <c r="N41" i="16" s="1"/>
  <c r="K88" i="16"/>
  <c r="M120" i="16"/>
  <c r="K149" i="16"/>
  <c r="P224" i="16"/>
  <c r="K345" i="16"/>
  <c r="K426" i="16"/>
  <c r="K634" i="16"/>
  <c r="L31" i="17"/>
  <c r="O31" i="17" s="1"/>
  <c r="K92" i="17"/>
  <c r="K110" i="17"/>
  <c r="N31" i="17"/>
  <c r="N29" i="17" s="1"/>
  <c r="K64" i="15"/>
  <c r="O148" i="15"/>
  <c r="N220" i="15"/>
  <c r="M252" i="15"/>
  <c r="K328" i="15"/>
  <c r="L333" i="15"/>
  <c r="L331" i="15" s="1"/>
  <c r="K368" i="15"/>
  <c r="K398" i="15"/>
  <c r="O439" i="15"/>
  <c r="O535" i="15"/>
  <c r="P49" i="16"/>
  <c r="K80" i="16"/>
  <c r="L122" i="16"/>
  <c r="O122" i="16" s="1"/>
  <c r="K133" i="16"/>
  <c r="M331" i="16"/>
  <c r="L24" i="16"/>
  <c r="O24" i="16" s="1"/>
  <c r="K340" i="16"/>
  <c r="O354" i="16"/>
  <c r="O406" i="16"/>
  <c r="K424" i="16"/>
  <c r="K435" i="16"/>
  <c r="O437" i="16"/>
  <c r="K451" i="16"/>
  <c r="K466" i="16"/>
  <c r="K498" i="16"/>
  <c r="K547" i="16"/>
  <c r="K573" i="16"/>
  <c r="K632" i="16"/>
  <c r="J651" i="16"/>
  <c r="K651" i="16" s="1"/>
  <c r="O102" i="17"/>
  <c r="K108" i="17"/>
  <c r="L254" i="17"/>
  <c r="L252" i="17" s="1"/>
  <c r="L275" i="17"/>
  <c r="M292" i="17"/>
  <c r="P292" i="17" s="1"/>
  <c r="L294" i="17"/>
  <c r="O294" i="17" s="1"/>
  <c r="K427" i="17"/>
  <c r="L32" i="18"/>
  <c r="L30" i="18" s="1"/>
  <c r="K420" i="18"/>
  <c r="O601" i="18"/>
  <c r="O380" i="16"/>
  <c r="O404" i="16"/>
  <c r="K422" i="16"/>
  <c r="K474" i="16"/>
  <c r="K533" i="16"/>
  <c r="K564" i="16"/>
  <c r="O601" i="16"/>
  <c r="N43" i="17"/>
  <c r="M66" i="17"/>
  <c r="P66" i="17" s="1"/>
  <c r="K199" i="17"/>
  <c r="K266" i="17"/>
  <c r="K341" i="17"/>
  <c r="O352" i="17"/>
  <c r="L32" i="17"/>
  <c r="L30" i="17" s="1"/>
  <c r="K618" i="17"/>
  <c r="K617" i="17"/>
  <c r="K619" i="17"/>
  <c r="K611" i="17"/>
  <c r="K613" i="17"/>
  <c r="K665" i="17"/>
  <c r="O649" i="15"/>
  <c r="O49" i="16"/>
  <c r="K189" i="16"/>
  <c r="L224" i="16"/>
  <c r="O224" i="16" s="1"/>
  <c r="N312" i="16"/>
  <c r="N32" i="16"/>
  <c r="N30" i="16" s="1"/>
  <c r="P333" i="17"/>
  <c r="M331" i="17"/>
  <c r="M329" i="17" s="1"/>
  <c r="O649" i="17"/>
  <c r="L640" i="17"/>
  <c r="O404" i="18"/>
  <c r="N32" i="18"/>
  <c r="N30" i="18" s="1"/>
  <c r="L648" i="1"/>
  <c r="K164" i="15"/>
  <c r="N34" i="15"/>
  <c r="N14" i="15" s="1"/>
  <c r="K573" i="15"/>
  <c r="K219" i="16"/>
  <c r="K341" i="16"/>
  <c r="O347" i="16"/>
  <c r="K375" i="16"/>
  <c r="J89" i="1"/>
  <c r="K173" i="17"/>
  <c r="L33" i="18"/>
  <c r="O33" i="18" s="1"/>
  <c r="O384" i="18"/>
  <c r="P98" i="17"/>
  <c r="K117" i="17"/>
  <c r="K340" i="17"/>
  <c r="K349" i="17"/>
  <c r="K377" i="17"/>
  <c r="O380" i="17"/>
  <c r="K418" i="17"/>
  <c r="K430" i="17"/>
  <c r="K464" i="17"/>
  <c r="K473" i="17"/>
  <c r="K498" i="17"/>
  <c r="K551" i="17"/>
  <c r="O555" i="17"/>
  <c r="O566" i="17"/>
  <c r="O597" i="17"/>
  <c r="K629" i="17"/>
  <c r="K82" i="18"/>
  <c r="K109" i="18"/>
  <c r="K235" i="18"/>
  <c r="K265" i="18"/>
  <c r="K340" i="18"/>
  <c r="K343" i="18"/>
  <c r="K376" i="18"/>
  <c r="K380" i="18"/>
  <c r="K396" i="18"/>
  <c r="K425" i="18"/>
  <c r="K455" i="18"/>
  <c r="K481" i="18"/>
  <c r="K498" i="18"/>
  <c r="O564" i="18"/>
  <c r="K593" i="18"/>
  <c r="K614" i="18"/>
  <c r="K626" i="18"/>
  <c r="K630" i="18"/>
  <c r="O651" i="18"/>
  <c r="N26" i="18"/>
  <c r="N16" i="18" s="1"/>
  <c r="N222" i="18"/>
  <c r="N220" i="18" s="1"/>
  <c r="K341" i="18"/>
  <c r="K377" i="18"/>
  <c r="K499" i="18"/>
  <c r="K624" i="18"/>
  <c r="K628" i="18"/>
  <c r="O354" i="17"/>
  <c r="K375" i="17"/>
  <c r="O457" i="17"/>
  <c r="K481" i="17"/>
  <c r="O553" i="17"/>
  <c r="O601" i="17"/>
  <c r="N644" i="17"/>
  <c r="N640" i="17" s="1"/>
  <c r="N638" i="17" s="1"/>
  <c r="N636" i="17" s="1"/>
  <c r="P57" i="18"/>
  <c r="L224" i="18"/>
  <c r="L222" i="18" s="1"/>
  <c r="O349" i="18"/>
  <c r="K450" i="18"/>
  <c r="K474" i="18"/>
  <c r="K622" i="18"/>
  <c r="M41" i="18"/>
  <c r="K86" i="18"/>
  <c r="O102" i="18"/>
  <c r="M120" i="18"/>
  <c r="O385" i="18"/>
  <c r="K401" i="18"/>
  <c r="K419" i="18"/>
  <c r="K620" i="18"/>
  <c r="K350" i="17"/>
  <c r="O401" i="17"/>
  <c r="O404" i="17"/>
  <c r="K422" i="17"/>
  <c r="K466" i="17"/>
  <c r="K564" i="17"/>
  <c r="O568" i="17"/>
  <c r="O599" i="17"/>
  <c r="K633" i="17"/>
  <c r="P45" i="18"/>
  <c r="K87" i="18"/>
  <c r="K111" i="18"/>
  <c r="L122" i="18"/>
  <c r="L120" i="18" s="1"/>
  <c r="P144" i="18"/>
  <c r="K149" i="18"/>
  <c r="K164" i="18"/>
  <c r="K249" i="18"/>
  <c r="K267" i="18"/>
  <c r="O279" i="18"/>
  <c r="K285" i="18"/>
  <c r="K328" i="18"/>
  <c r="O347" i="18"/>
  <c r="O383" i="18"/>
  <c r="K398" i="18"/>
  <c r="O401" i="18"/>
  <c r="K417" i="18"/>
  <c r="K429" i="18"/>
  <c r="O437" i="18"/>
  <c r="K465" i="18"/>
  <c r="O568" i="18"/>
  <c r="K573" i="18"/>
  <c r="K597" i="18"/>
  <c r="K618" i="18"/>
  <c r="K634" i="18"/>
  <c r="P29" i="1"/>
  <c r="M13" i="1"/>
  <c r="P13" i="1" s="1"/>
  <c r="P42" i="1"/>
  <c r="N19" i="1"/>
  <c r="O25" i="1"/>
  <c r="L15" i="1"/>
  <c r="O15" i="1" s="1"/>
  <c r="P21" i="1"/>
  <c r="M19" i="1"/>
  <c r="M11" i="1"/>
  <c r="I649" i="1"/>
  <c r="K649" i="2"/>
  <c r="N15" i="3"/>
  <c r="O251" i="4"/>
  <c r="O21" i="6"/>
  <c r="L19" i="6"/>
  <c r="L582" i="1"/>
  <c r="P19" i="4"/>
  <c r="K84" i="6"/>
  <c r="O352" i="6"/>
  <c r="L24" i="17"/>
  <c r="L57" i="17"/>
  <c r="N49" i="1"/>
  <c r="L58" i="1"/>
  <c r="M67" i="1"/>
  <c r="P67" i="1" s="1"/>
  <c r="I82" i="1"/>
  <c r="I88" i="1"/>
  <c r="N95" i="1"/>
  <c r="J133" i="1"/>
  <c r="I219" i="1"/>
  <c r="L228" i="1"/>
  <c r="O228" i="1" s="1"/>
  <c r="M251" i="1"/>
  <c r="P251" i="1" s="1"/>
  <c r="I270" i="1"/>
  <c r="N275" i="1"/>
  <c r="I289" i="1"/>
  <c r="M311" i="1"/>
  <c r="P311" i="1" s="1"/>
  <c r="L334" i="1"/>
  <c r="J340" i="1"/>
  <c r="N354" i="1"/>
  <c r="I368" i="1"/>
  <c r="I370" i="1"/>
  <c r="I372" i="1"/>
  <c r="I396" i="1"/>
  <c r="I398" i="1"/>
  <c r="J402" i="1"/>
  <c r="N404" i="1"/>
  <c r="L437" i="1"/>
  <c r="L439" i="1"/>
  <c r="J464" i="1"/>
  <c r="L533" i="1"/>
  <c r="L535" i="1"/>
  <c r="L537" i="1"/>
  <c r="L552" i="1"/>
  <c r="O552" i="1" s="1"/>
  <c r="N582" i="1"/>
  <c r="I591" i="1"/>
  <c r="I597" i="1"/>
  <c r="J614" i="1"/>
  <c r="J626" i="1"/>
  <c r="L651" i="1"/>
  <c r="P21" i="2"/>
  <c r="M11" i="2"/>
  <c r="P25" i="2"/>
  <c r="L33" i="2"/>
  <c r="O33" i="2" s="1"/>
  <c r="P45" i="2"/>
  <c r="M68" i="2"/>
  <c r="P70" i="2"/>
  <c r="K117" i="2"/>
  <c r="P144" i="2"/>
  <c r="N290" i="2"/>
  <c r="I560" i="1"/>
  <c r="K560" i="2"/>
  <c r="L567" i="1"/>
  <c r="O567" i="1" s="1"/>
  <c r="O567" i="2"/>
  <c r="O597" i="2"/>
  <c r="O599" i="2"/>
  <c r="O601" i="2"/>
  <c r="I616" i="1"/>
  <c r="I618" i="1"/>
  <c r="I622" i="1"/>
  <c r="I624" i="1"/>
  <c r="I629" i="1"/>
  <c r="I635" i="1"/>
  <c r="I648" i="1"/>
  <c r="K648" i="2"/>
  <c r="I651" i="1"/>
  <c r="K651" i="2"/>
  <c r="K663" i="2"/>
  <c r="O665" i="2"/>
  <c r="P11" i="3"/>
  <c r="M14" i="3"/>
  <c r="P14" i="3" s="1"/>
  <c r="N22" i="3"/>
  <c r="L26" i="3"/>
  <c r="P31" i="3"/>
  <c r="L24" i="3"/>
  <c r="P119" i="3"/>
  <c r="P251" i="3"/>
  <c r="M292" i="3"/>
  <c r="P294" i="3"/>
  <c r="L314" i="3"/>
  <c r="K339" i="3"/>
  <c r="K343" i="3"/>
  <c r="K345" i="3"/>
  <c r="O349" i="3"/>
  <c r="O351" i="3"/>
  <c r="K375" i="3"/>
  <c r="O533" i="3"/>
  <c r="K561" i="3"/>
  <c r="K561" i="1" s="1"/>
  <c r="O564" i="3"/>
  <c r="O568" i="3"/>
  <c r="O580" i="3"/>
  <c r="M22" i="4"/>
  <c r="M49" i="4"/>
  <c r="N273" i="4"/>
  <c r="N271" i="4" s="1"/>
  <c r="M312" i="4"/>
  <c r="L24" i="5"/>
  <c r="L45" i="5"/>
  <c r="N22" i="5"/>
  <c r="N273" i="5"/>
  <c r="N271" i="5" s="1"/>
  <c r="M331" i="5"/>
  <c r="O228" i="7"/>
  <c r="L26" i="7"/>
  <c r="P251" i="7"/>
  <c r="L31" i="8"/>
  <c r="O565" i="8"/>
  <c r="O353" i="10"/>
  <c r="L33" i="10"/>
  <c r="O33" i="10" s="1"/>
  <c r="O383" i="10"/>
  <c r="L32" i="10"/>
  <c r="L23" i="4"/>
  <c r="L57" i="4"/>
  <c r="P272" i="6"/>
  <c r="M271" i="6"/>
  <c r="O403" i="7"/>
  <c r="L31" i="7"/>
  <c r="L11" i="7" s="1"/>
  <c r="J424" i="1"/>
  <c r="I451" i="1"/>
  <c r="N43" i="2"/>
  <c r="M142" i="2"/>
  <c r="M140" i="2" s="1"/>
  <c r="N31" i="2"/>
  <c r="L32" i="3"/>
  <c r="O383" i="3"/>
  <c r="O535" i="3"/>
  <c r="P19" i="6"/>
  <c r="M30" i="1"/>
  <c r="P30" i="1" s="1"/>
  <c r="L46" i="1"/>
  <c r="L59" i="1"/>
  <c r="N67" i="1"/>
  <c r="I117" i="1"/>
  <c r="I267" i="1"/>
  <c r="N279" i="1"/>
  <c r="I285" i="1"/>
  <c r="L335" i="1"/>
  <c r="I380" i="1"/>
  <c r="L383" i="1"/>
  <c r="L385" i="1"/>
  <c r="J398" i="1"/>
  <c r="I417" i="1"/>
  <c r="I419" i="1"/>
  <c r="I421" i="1"/>
  <c r="I425" i="1"/>
  <c r="I429" i="1"/>
  <c r="I431" i="1"/>
  <c r="L456" i="1"/>
  <c r="O456" i="1" s="1"/>
  <c r="N535" i="1"/>
  <c r="I551" i="1"/>
  <c r="N552" i="1"/>
  <c r="M19" i="2"/>
  <c r="L26" i="2"/>
  <c r="M43" i="2"/>
  <c r="L23" i="2"/>
  <c r="L70" i="2"/>
  <c r="P95" i="2"/>
  <c r="K200" i="2"/>
  <c r="O272" i="2"/>
  <c r="P291" i="2"/>
  <c r="M331" i="2"/>
  <c r="M329" i="2" s="1"/>
  <c r="P333" i="2"/>
  <c r="N34" i="2"/>
  <c r="N14" i="2" s="1"/>
  <c r="K482" i="2"/>
  <c r="O551" i="2"/>
  <c r="O553" i="2"/>
  <c r="O555" i="2"/>
  <c r="K575" i="2"/>
  <c r="K577" i="2"/>
  <c r="K579" i="2"/>
  <c r="O580" i="2"/>
  <c r="O582" i="2"/>
  <c r="O584" i="2"/>
  <c r="L640" i="2"/>
  <c r="J651" i="2"/>
  <c r="L23" i="3"/>
  <c r="P67" i="3"/>
  <c r="K189" i="3"/>
  <c r="M222" i="3"/>
  <c r="O272" i="3"/>
  <c r="P311" i="3"/>
  <c r="K381" i="3"/>
  <c r="K591" i="3"/>
  <c r="K597" i="3"/>
  <c r="K625" i="3"/>
  <c r="K628" i="3"/>
  <c r="L24" i="4"/>
  <c r="P32" i="4"/>
  <c r="M66" i="4"/>
  <c r="K216" i="4"/>
  <c r="O221" i="4"/>
  <c r="O406" i="4"/>
  <c r="N34" i="4"/>
  <c r="N14" i="4" s="1"/>
  <c r="O49" i="5"/>
  <c r="L26" i="5"/>
  <c r="O49" i="6"/>
  <c r="L26" i="6"/>
  <c r="O251" i="6"/>
  <c r="O458" i="6"/>
  <c r="L33" i="6"/>
  <c r="O33" i="6" s="1"/>
  <c r="N43" i="8"/>
  <c r="N41" i="8" s="1"/>
  <c r="N22" i="8"/>
  <c r="O279" i="8"/>
  <c r="L26" i="8"/>
  <c r="N33" i="8"/>
  <c r="N13" i="8" s="1"/>
  <c r="P42" i="17"/>
  <c r="I112" i="1"/>
  <c r="L251" i="1"/>
  <c r="O251" i="1" s="1"/>
  <c r="M273" i="3"/>
  <c r="L34" i="4"/>
  <c r="O352" i="4"/>
  <c r="N32" i="4"/>
  <c r="N30" i="4" s="1"/>
  <c r="M15" i="1"/>
  <c r="P15" i="1" s="1"/>
  <c r="L21" i="1"/>
  <c r="I93" i="1"/>
  <c r="I109" i="1"/>
  <c r="I132" i="1"/>
  <c r="J173" i="1"/>
  <c r="L221" i="1"/>
  <c r="O221" i="1" s="1"/>
  <c r="L272" i="1"/>
  <c r="O272" i="1" s="1"/>
  <c r="M314" i="1"/>
  <c r="I341" i="1"/>
  <c r="K341" i="1" s="1"/>
  <c r="L347" i="1"/>
  <c r="L351" i="1"/>
  <c r="L353" i="1"/>
  <c r="I377" i="1"/>
  <c r="J380" i="1"/>
  <c r="J381" i="1"/>
  <c r="N385" i="1"/>
  <c r="L401" i="1"/>
  <c r="L403" i="1"/>
  <c r="O403" i="1" s="1"/>
  <c r="J417" i="1"/>
  <c r="J419" i="1"/>
  <c r="J429" i="1"/>
  <c r="J431" i="1"/>
  <c r="J455" i="1"/>
  <c r="I469" i="1"/>
  <c r="K469" i="1" s="1"/>
  <c r="I471" i="1"/>
  <c r="K471" i="1" s="1"/>
  <c r="I475" i="1"/>
  <c r="K475" i="1" s="1"/>
  <c r="I481" i="1"/>
  <c r="I483" i="1"/>
  <c r="K483" i="1" s="1"/>
  <c r="I487" i="1"/>
  <c r="K487" i="1" s="1"/>
  <c r="I493" i="1"/>
  <c r="K493" i="1" s="1"/>
  <c r="I495" i="1"/>
  <c r="K495" i="1" s="1"/>
  <c r="I499" i="1"/>
  <c r="I505" i="1"/>
  <c r="K505" i="1" s="1"/>
  <c r="I507" i="1"/>
  <c r="K507" i="1" s="1"/>
  <c r="I511" i="1"/>
  <c r="K511" i="1" s="1"/>
  <c r="J551" i="1"/>
  <c r="J612" i="1"/>
  <c r="J618" i="1"/>
  <c r="J631" i="1"/>
  <c r="L650" i="1"/>
  <c r="L661" i="1"/>
  <c r="L668" i="1"/>
  <c r="O21" i="2"/>
  <c r="N33" i="2"/>
  <c r="N13" i="2" s="1"/>
  <c r="M120" i="2"/>
  <c r="P141" i="2"/>
  <c r="P221" i="2"/>
  <c r="K340" i="2"/>
  <c r="O352" i="2"/>
  <c r="L32" i="2"/>
  <c r="L565" i="1"/>
  <c r="O565" i="1" s="1"/>
  <c r="O565" i="2"/>
  <c r="K620" i="2"/>
  <c r="K622" i="2"/>
  <c r="K624" i="2"/>
  <c r="K626" i="2"/>
  <c r="K629" i="2"/>
  <c r="K631" i="2"/>
  <c r="K633" i="2"/>
  <c r="K635" i="2"/>
  <c r="I650" i="1"/>
  <c r="K650" i="2"/>
  <c r="J677" i="1"/>
  <c r="P23" i="3"/>
  <c r="M13" i="3"/>
  <c r="P13" i="3" s="1"/>
  <c r="M41" i="3"/>
  <c r="N26" i="3"/>
  <c r="N16" i="3" s="1"/>
  <c r="M55" i="3"/>
  <c r="M22" i="3"/>
  <c r="K421" i="3"/>
  <c r="K427" i="3"/>
  <c r="K533" i="3"/>
  <c r="K580" i="3"/>
  <c r="L31" i="4"/>
  <c r="P45" i="4"/>
  <c r="K64" i="4"/>
  <c r="M96" i="4"/>
  <c r="P102" i="4"/>
  <c r="M118" i="4"/>
  <c r="P118" i="4" s="1"/>
  <c r="K213" i="4"/>
  <c r="K629" i="4"/>
  <c r="K635" i="4"/>
  <c r="K189" i="5"/>
  <c r="K219" i="5"/>
  <c r="O251" i="5"/>
  <c r="P314" i="5"/>
  <c r="M312" i="5"/>
  <c r="P312" i="5" s="1"/>
  <c r="K398" i="5"/>
  <c r="O439" i="5"/>
  <c r="L34" i="5"/>
  <c r="L640" i="5"/>
  <c r="O665" i="5"/>
  <c r="P23" i="6"/>
  <c r="M13" i="6"/>
  <c r="P13" i="6" s="1"/>
  <c r="K149" i="6"/>
  <c r="N26" i="6"/>
  <c r="N273" i="6"/>
  <c r="P273" i="6" s="1"/>
  <c r="O144" i="7"/>
  <c r="L142" i="7"/>
  <c r="P330" i="2"/>
  <c r="I564" i="1"/>
  <c r="K564" i="2"/>
  <c r="P272" i="4"/>
  <c r="O458" i="5"/>
  <c r="L33" i="5"/>
  <c r="O33" i="5" s="1"/>
  <c r="O566" i="7"/>
  <c r="L32" i="7"/>
  <c r="P11" i="9"/>
  <c r="L640" i="18"/>
  <c r="O648" i="18"/>
  <c r="M95" i="1"/>
  <c r="P95" i="1" s="1"/>
  <c r="I108" i="1"/>
  <c r="M275" i="1"/>
  <c r="I344" i="1"/>
  <c r="K344" i="1" s="1"/>
  <c r="I350" i="1"/>
  <c r="M14" i="2"/>
  <c r="P14" i="2" s="1"/>
  <c r="M28" i="2"/>
  <c r="P28" i="2" s="1"/>
  <c r="P32" i="2"/>
  <c r="O42" i="4"/>
  <c r="M45" i="1"/>
  <c r="I65" i="1"/>
  <c r="I85" i="1"/>
  <c r="I149" i="1"/>
  <c r="J200" i="1"/>
  <c r="L225" i="1"/>
  <c r="I238" i="1"/>
  <c r="K238" i="1" s="1"/>
  <c r="I249" i="1"/>
  <c r="K249" i="1" s="1"/>
  <c r="M272" i="1"/>
  <c r="P272" i="1" s="1"/>
  <c r="L276" i="1"/>
  <c r="I309" i="1"/>
  <c r="K309" i="1" s="1"/>
  <c r="L318" i="1"/>
  <c r="O318" i="1" s="1"/>
  <c r="L337" i="1"/>
  <c r="L566" i="1"/>
  <c r="J595" i="1"/>
  <c r="L34" i="2"/>
  <c r="O42" i="2"/>
  <c r="P57" i="2"/>
  <c r="M55" i="2"/>
  <c r="O119" i="2"/>
  <c r="O148" i="2"/>
  <c r="N32" i="2"/>
  <c r="N30" i="2" s="1"/>
  <c r="K401" i="2"/>
  <c r="O406" i="2"/>
  <c r="K474" i="2"/>
  <c r="K498" i="2"/>
  <c r="K547" i="2"/>
  <c r="N565" i="1"/>
  <c r="J650" i="1"/>
  <c r="I668" i="1"/>
  <c r="K668" i="2"/>
  <c r="M28" i="3"/>
  <c r="P28" i="3" s="1"/>
  <c r="P45" i="3"/>
  <c r="K64" i="3"/>
  <c r="K328" i="3"/>
  <c r="K380" i="3"/>
  <c r="O385" i="3"/>
  <c r="L34" i="3"/>
  <c r="N33" i="3"/>
  <c r="N13" i="3" s="1"/>
  <c r="K589" i="3"/>
  <c r="K595" i="3"/>
  <c r="K619" i="3"/>
  <c r="P21" i="4"/>
  <c r="M11" i="4"/>
  <c r="K138" i="4"/>
  <c r="K235" i="4"/>
  <c r="P254" i="4"/>
  <c r="M252" i="4"/>
  <c r="M250" i="4" s="1"/>
  <c r="P275" i="4"/>
  <c r="M273" i="4"/>
  <c r="O535" i="4"/>
  <c r="L32" i="4"/>
  <c r="L640" i="4"/>
  <c r="O665" i="4"/>
  <c r="P45" i="5"/>
  <c r="M43" i="5"/>
  <c r="O279" i="5"/>
  <c r="O311" i="5"/>
  <c r="P337" i="5"/>
  <c r="O272" i="6"/>
  <c r="P275" i="6"/>
  <c r="M22" i="6"/>
  <c r="P15" i="7"/>
  <c r="M9" i="7"/>
  <c r="O21" i="7"/>
  <c r="L19" i="7"/>
  <c r="P29" i="7"/>
  <c r="P254" i="7"/>
  <c r="M252" i="7"/>
  <c r="P252" i="7" s="1"/>
  <c r="K593" i="7"/>
  <c r="O439" i="8"/>
  <c r="L34" i="8"/>
  <c r="K626" i="8"/>
  <c r="K624" i="8"/>
  <c r="K622" i="8"/>
  <c r="K620" i="8"/>
  <c r="K621" i="8"/>
  <c r="K623" i="8"/>
  <c r="K625" i="8"/>
  <c r="N26" i="10"/>
  <c r="N16" i="10" s="1"/>
  <c r="L640" i="10"/>
  <c r="O648" i="10"/>
  <c r="O354" i="15"/>
  <c r="L34" i="15"/>
  <c r="L33" i="15"/>
  <c r="O33" i="15" s="1"/>
  <c r="O384" i="15"/>
  <c r="K369" i="16"/>
  <c r="I367" i="16"/>
  <c r="K367" i="16" s="1"/>
  <c r="O25" i="17"/>
  <c r="L15" i="17"/>
  <c r="O15" i="17" s="1"/>
  <c r="L19" i="17"/>
  <c r="L26" i="17"/>
  <c r="O61" i="17"/>
  <c r="M331" i="18"/>
  <c r="P337" i="18"/>
  <c r="M26" i="18"/>
  <c r="O351" i="18"/>
  <c r="L31" i="18"/>
  <c r="O437" i="4"/>
  <c r="O533" i="4"/>
  <c r="K625" i="4"/>
  <c r="K623" i="4"/>
  <c r="K621" i="4"/>
  <c r="K626" i="4"/>
  <c r="K624" i="4"/>
  <c r="K622" i="4"/>
  <c r="K620" i="4"/>
  <c r="K633" i="4"/>
  <c r="L23" i="5"/>
  <c r="K235" i="5"/>
  <c r="P272" i="5"/>
  <c r="M271" i="5"/>
  <c r="P275" i="5"/>
  <c r="K396" i="5"/>
  <c r="K625" i="5"/>
  <c r="K623" i="5"/>
  <c r="K621" i="5"/>
  <c r="K626" i="5"/>
  <c r="K624" i="5"/>
  <c r="K622" i="5"/>
  <c r="K620" i="5"/>
  <c r="P29" i="6"/>
  <c r="M28" i="6"/>
  <c r="P28" i="6" s="1"/>
  <c r="P45" i="6"/>
  <c r="M43" i="6"/>
  <c r="M250" i="6"/>
  <c r="K396" i="6"/>
  <c r="L31" i="6"/>
  <c r="L11" i="6" s="1"/>
  <c r="O456" i="6"/>
  <c r="O535" i="6"/>
  <c r="K633" i="6"/>
  <c r="P23" i="7"/>
  <c r="M13" i="7"/>
  <c r="P13" i="7" s="1"/>
  <c r="O221" i="7"/>
  <c r="N26" i="7"/>
  <c r="N16" i="7" s="1"/>
  <c r="O385" i="7"/>
  <c r="L34" i="7"/>
  <c r="N644" i="8"/>
  <c r="N640" i="8" s="1"/>
  <c r="N638" i="8" s="1"/>
  <c r="N636" i="8" s="1"/>
  <c r="O311" i="9"/>
  <c r="L26" i="11"/>
  <c r="P49" i="11"/>
  <c r="M26" i="11"/>
  <c r="M43" i="11"/>
  <c r="P95" i="12"/>
  <c r="O384" i="12"/>
  <c r="L33" i="12"/>
  <c r="O33" i="12" s="1"/>
  <c r="K611" i="3"/>
  <c r="K613" i="3"/>
  <c r="K615" i="3"/>
  <c r="K617" i="3"/>
  <c r="K621" i="3"/>
  <c r="K623" i="3"/>
  <c r="O279" i="4"/>
  <c r="O435" i="4"/>
  <c r="O537" i="4"/>
  <c r="K631" i="4"/>
  <c r="P23" i="5"/>
  <c r="M13" i="5"/>
  <c r="P13" i="5" s="1"/>
  <c r="N32" i="5"/>
  <c r="N30" i="5" s="1"/>
  <c r="L31" i="5"/>
  <c r="L11" i="5" s="1"/>
  <c r="O456" i="5"/>
  <c r="L23" i="6"/>
  <c r="M312" i="6"/>
  <c r="P312" i="6" s="1"/>
  <c r="L24" i="7"/>
  <c r="N252" i="7"/>
  <c r="N22" i="7"/>
  <c r="N273" i="7"/>
  <c r="N271" i="7" s="1"/>
  <c r="L333" i="7"/>
  <c r="P29" i="8"/>
  <c r="M28" i="8"/>
  <c r="P28" i="8" s="1"/>
  <c r="O224" i="9"/>
  <c r="L222" i="9"/>
  <c r="P254" i="10"/>
  <c r="M252" i="10"/>
  <c r="P252" i="10" s="1"/>
  <c r="P49" i="12"/>
  <c r="M43" i="12"/>
  <c r="M41" i="12" s="1"/>
  <c r="N68" i="12"/>
  <c r="O74" i="12"/>
  <c r="N331" i="12"/>
  <c r="O311" i="4"/>
  <c r="K370" i="4"/>
  <c r="K398" i="4"/>
  <c r="O580" i="4"/>
  <c r="O21" i="5"/>
  <c r="L19" i="5"/>
  <c r="P29" i="5"/>
  <c r="M28" i="5"/>
  <c r="P28" i="5" s="1"/>
  <c r="L57" i="5"/>
  <c r="K110" i="5"/>
  <c r="K149" i="5"/>
  <c r="O383" i="5"/>
  <c r="L32" i="5"/>
  <c r="O435" i="5"/>
  <c r="O537" i="5"/>
  <c r="O580" i="5"/>
  <c r="L24" i="6"/>
  <c r="K108" i="6"/>
  <c r="O279" i="6"/>
  <c r="O311" i="6"/>
  <c r="N34" i="6"/>
  <c r="K368" i="6"/>
  <c r="O383" i="6"/>
  <c r="L32" i="6"/>
  <c r="O439" i="6"/>
  <c r="K625" i="6"/>
  <c r="K623" i="6"/>
  <c r="K621" i="6"/>
  <c r="K626" i="6"/>
  <c r="K624" i="6"/>
  <c r="K622" i="6"/>
  <c r="K620" i="6"/>
  <c r="L640" i="6"/>
  <c r="O665" i="6"/>
  <c r="P19" i="7"/>
  <c r="P70" i="7"/>
  <c r="O251" i="7"/>
  <c r="L23" i="8"/>
  <c r="L57" i="8"/>
  <c r="N22" i="9"/>
  <c r="N68" i="9"/>
  <c r="N66" i="9" s="1"/>
  <c r="P224" i="9"/>
  <c r="M22" i="9"/>
  <c r="M222" i="9"/>
  <c r="O42" i="11"/>
  <c r="K612" i="4"/>
  <c r="K614" i="4"/>
  <c r="K616" i="4"/>
  <c r="K618" i="4"/>
  <c r="K612" i="5"/>
  <c r="K614" i="5"/>
  <c r="K616" i="5"/>
  <c r="K618" i="5"/>
  <c r="M14" i="7"/>
  <c r="P14" i="7" s="1"/>
  <c r="O291" i="7"/>
  <c r="O352" i="8"/>
  <c r="L32" i="8"/>
  <c r="O291" i="9"/>
  <c r="O21" i="10"/>
  <c r="L19" i="10"/>
  <c r="P45" i="10"/>
  <c r="M43" i="10"/>
  <c r="M22" i="10"/>
  <c r="O251" i="10"/>
  <c r="O318" i="10"/>
  <c r="K589" i="10"/>
  <c r="O221" i="11"/>
  <c r="P275" i="11"/>
  <c r="O318" i="11"/>
  <c r="K427" i="11"/>
  <c r="M29" i="13"/>
  <c r="M11" i="13"/>
  <c r="P31" i="13"/>
  <c r="L24" i="14"/>
  <c r="M55" i="5"/>
  <c r="P311" i="7"/>
  <c r="O353" i="7"/>
  <c r="L33" i="7"/>
  <c r="O33" i="7" s="1"/>
  <c r="N118" i="8"/>
  <c r="L24" i="9"/>
  <c r="P254" i="9"/>
  <c r="M252" i="9"/>
  <c r="P252" i="9" s="1"/>
  <c r="P21" i="10"/>
  <c r="M11" i="10"/>
  <c r="M19" i="10"/>
  <c r="O42" i="10"/>
  <c r="O228" i="10"/>
  <c r="L26" i="10"/>
  <c r="P251" i="10"/>
  <c r="N22" i="10"/>
  <c r="N273" i="10"/>
  <c r="O21" i="11"/>
  <c r="L19" i="11"/>
  <c r="N22" i="11"/>
  <c r="N273" i="11"/>
  <c r="N34" i="11"/>
  <c r="N14" i="11" s="1"/>
  <c r="O311" i="13"/>
  <c r="M19" i="5"/>
  <c r="M220" i="6"/>
  <c r="K216" i="7"/>
  <c r="M222" i="7"/>
  <c r="K328" i="7"/>
  <c r="K421" i="7"/>
  <c r="K427" i="7"/>
  <c r="K589" i="7"/>
  <c r="K595" i="7"/>
  <c r="L640" i="7"/>
  <c r="O648" i="7"/>
  <c r="O21" i="8"/>
  <c r="L19" i="8"/>
  <c r="O42" i="8"/>
  <c r="M49" i="8"/>
  <c r="M43" i="8" s="1"/>
  <c r="O102" i="8"/>
  <c r="M273" i="8"/>
  <c r="O337" i="8"/>
  <c r="K349" i="8"/>
  <c r="K402" i="8"/>
  <c r="K449" i="8"/>
  <c r="O318" i="9"/>
  <c r="P57" i="10"/>
  <c r="M55" i="10"/>
  <c r="L144" i="11"/>
  <c r="P272" i="11"/>
  <c r="M271" i="11"/>
  <c r="M331" i="11"/>
  <c r="P337" i="11"/>
  <c r="N32" i="11"/>
  <c r="N30" i="11" s="1"/>
  <c r="O25" i="12"/>
  <c r="L15" i="12"/>
  <c r="O15" i="12" s="1"/>
  <c r="L19" i="12"/>
  <c r="K611" i="4"/>
  <c r="K613" i="4"/>
  <c r="K615" i="4"/>
  <c r="K617" i="4"/>
  <c r="K611" i="5"/>
  <c r="K613" i="5"/>
  <c r="K615" i="5"/>
  <c r="K617" i="5"/>
  <c r="P54" i="7"/>
  <c r="M53" i="7"/>
  <c r="O67" i="7"/>
  <c r="O74" i="7"/>
  <c r="M74" i="7"/>
  <c r="K285" i="7"/>
  <c r="K380" i="7"/>
  <c r="P21" i="8"/>
  <c r="M11" i="8"/>
  <c r="M19" i="8"/>
  <c r="P45" i="8"/>
  <c r="K88" i="8"/>
  <c r="K229" i="8"/>
  <c r="O272" i="8"/>
  <c r="K401" i="8"/>
  <c r="K482" i="8"/>
  <c r="P251" i="9"/>
  <c r="K425" i="9"/>
  <c r="M68" i="10"/>
  <c r="M26" i="10"/>
  <c r="P74" i="10"/>
  <c r="O385" i="10"/>
  <c r="L34" i="10"/>
  <c r="K421" i="10"/>
  <c r="O49" i="11"/>
  <c r="K88" i="11"/>
  <c r="O258" i="11"/>
  <c r="O599" i="12"/>
  <c r="M13" i="8"/>
  <c r="P13" i="8" s="1"/>
  <c r="P102" i="8"/>
  <c r="P311" i="9"/>
  <c r="O353" i="9"/>
  <c r="L33" i="9"/>
  <c r="O33" i="9" s="1"/>
  <c r="N33" i="9"/>
  <c r="N13" i="9" s="1"/>
  <c r="N43" i="10"/>
  <c r="N41" i="10" s="1"/>
  <c r="L23" i="10"/>
  <c r="O291" i="10"/>
  <c r="O351" i="10"/>
  <c r="L31" i="10"/>
  <c r="M14" i="11"/>
  <c r="P14" i="11" s="1"/>
  <c r="P21" i="11"/>
  <c r="M11" i="11"/>
  <c r="M19" i="11"/>
  <c r="M66" i="11"/>
  <c r="P251" i="11"/>
  <c r="O291" i="11"/>
  <c r="N26" i="12"/>
  <c r="N16" i="12" s="1"/>
  <c r="O382" i="12"/>
  <c r="L31" i="12"/>
  <c r="L11" i="12" s="1"/>
  <c r="N33" i="12"/>
  <c r="N13" i="12" s="1"/>
  <c r="P25" i="13"/>
  <c r="M15" i="13"/>
  <c r="P15" i="13" s="1"/>
  <c r="P122" i="14"/>
  <c r="M120" i="14"/>
  <c r="P120" i="14" s="1"/>
  <c r="L144" i="15"/>
  <c r="L23" i="15"/>
  <c r="M49" i="7"/>
  <c r="M102" i="7"/>
  <c r="M337" i="7"/>
  <c r="K612" i="8"/>
  <c r="K614" i="8"/>
  <c r="K616" i="8"/>
  <c r="P31" i="9"/>
  <c r="M29" i="9"/>
  <c r="L31" i="9"/>
  <c r="O351" i="9"/>
  <c r="O385" i="9"/>
  <c r="L34" i="9"/>
  <c r="K419" i="9"/>
  <c r="K431" i="9"/>
  <c r="K455" i="9"/>
  <c r="K593" i="9"/>
  <c r="K80" i="10"/>
  <c r="P311" i="10"/>
  <c r="K380" i="10"/>
  <c r="K427" i="10"/>
  <c r="N33" i="10"/>
  <c r="N13" i="10" s="1"/>
  <c r="K595" i="10"/>
  <c r="L23" i="11"/>
  <c r="L57" i="11"/>
  <c r="P311" i="11"/>
  <c r="K421" i="11"/>
  <c r="N33" i="11"/>
  <c r="N13" i="11" s="1"/>
  <c r="O649" i="11"/>
  <c r="N43" i="12"/>
  <c r="N41" i="12" s="1"/>
  <c r="N22" i="12"/>
  <c r="O126" i="12"/>
  <c r="L26" i="12"/>
  <c r="P141" i="12"/>
  <c r="M140" i="12"/>
  <c r="P43" i="14"/>
  <c r="M41" i="14"/>
  <c r="N120" i="14"/>
  <c r="K611" i="7"/>
  <c r="K613" i="7"/>
  <c r="K615" i="7"/>
  <c r="K617" i="7"/>
  <c r="K621" i="7"/>
  <c r="K623" i="7"/>
  <c r="O221" i="9"/>
  <c r="O258" i="9"/>
  <c r="K328" i="9"/>
  <c r="L32" i="9"/>
  <c r="O383" i="9"/>
  <c r="N34" i="9"/>
  <c r="N14" i="9" s="1"/>
  <c r="K417" i="9"/>
  <c r="K429" i="9"/>
  <c r="K591" i="9"/>
  <c r="L24" i="10"/>
  <c r="K201" i="10"/>
  <c r="N34" i="10"/>
  <c r="N14" i="10" s="1"/>
  <c r="K425" i="10"/>
  <c r="K455" i="10"/>
  <c r="N31" i="10"/>
  <c r="K593" i="10"/>
  <c r="M22" i="11"/>
  <c r="P70" i="11"/>
  <c r="N26" i="11"/>
  <c r="N16" i="11" s="1"/>
  <c r="K80" i="11"/>
  <c r="O351" i="11"/>
  <c r="L31" i="11"/>
  <c r="O385" i="11"/>
  <c r="K419" i="11"/>
  <c r="K431" i="11"/>
  <c r="K455" i="11"/>
  <c r="N31" i="11"/>
  <c r="L640" i="11"/>
  <c r="O648" i="11"/>
  <c r="P42" i="12"/>
  <c r="O19" i="13"/>
  <c r="L33" i="14"/>
  <c r="O33" i="14" s="1"/>
  <c r="O405" i="14"/>
  <c r="O565" i="14"/>
  <c r="L31" i="14"/>
  <c r="O671" i="14"/>
  <c r="L640" i="14"/>
  <c r="N26" i="9"/>
  <c r="N16" i="9" s="1"/>
  <c r="K199" i="9"/>
  <c r="O228" i="9"/>
  <c r="L26" i="9"/>
  <c r="M26" i="9"/>
  <c r="M331" i="9"/>
  <c r="K381" i="9"/>
  <c r="K427" i="9"/>
  <c r="K589" i="9"/>
  <c r="L640" i="9"/>
  <c r="O648" i="9"/>
  <c r="K88" i="10"/>
  <c r="K138" i="10"/>
  <c r="K199" i="10"/>
  <c r="O221" i="10"/>
  <c r="O258" i="10"/>
  <c r="K328" i="10"/>
  <c r="N32" i="10"/>
  <c r="N30" i="10" s="1"/>
  <c r="K423" i="10"/>
  <c r="K591" i="10"/>
  <c r="L24" i="11"/>
  <c r="K138" i="11"/>
  <c r="K158" i="11"/>
  <c r="K328" i="11"/>
  <c r="O383" i="11"/>
  <c r="L32" i="11"/>
  <c r="K417" i="11"/>
  <c r="K429" i="11"/>
  <c r="L252" i="12"/>
  <c r="N34" i="12"/>
  <c r="N14" i="12" s="1"/>
  <c r="P19" i="13"/>
  <c r="O251" i="13"/>
  <c r="K270" i="13"/>
  <c r="O383" i="13"/>
  <c r="L32" i="13"/>
  <c r="L314" i="14"/>
  <c r="M13" i="10"/>
  <c r="P13" i="10" s="1"/>
  <c r="M13" i="11"/>
  <c r="P13" i="11" s="1"/>
  <c r="K619" i="11"/>
  <c r="K617" i="11"/>
  <c r="K615" i="11"/>
  <c r="K613" i="11"/>
  <c r="K611" i="11"/>
  <c r="P21" i="12"/>
  <c r="M11" i="12"/>
  <c r="M19" i="12"/>
  <c r="M96" i="12"/>
  <c r="P102" i="12"/>
  <c r="M22" i="12"/>
  <c r="P122" i="12"/>
  <c r="N31" i="12"/>
  <c r="N29" i="12" s="1"/>
  <c r="O67" i="13"/>
  <c r="O272" i="13"/>
  <c r="P70" i="14"/>
  <c r="M22" i="14"/>
  <c r="K618" i="11"/>
  <c r="N19" i="12"/>
  <c r="L23" i="12"/>
  <c r="P119" i="12"/>
  <c r="M118" i="12"/>
  <c r="L34" i="12"/>
  <c r="O354" i="12"/>
  <c r="N32" i="12"/>
  <c r="N30" i="12" s="1"/>
  <c r="P42" i="13"/>
  <c r="M41" i="13"/>
  <c r="M271" i="13"/>
  <c r="P272" i="13"/>
  <c r="O458" i="13"/>
  <c r="L33" i="13"/>
  <c r="O33" i="13" s="1"/>
  <c r="N22" i="14"/>
  <c r="N68" i="14"/>
  <c r="N66" i="14" s="1"/>
  <c r="K611" i="9"/>
  <c r="K613" i="9"/>
  <c r="K615" i="9"/>
  <c r="K617" i="9"/>
  <c r="K621" i="9"/>
  <c r="K623" i="9"/>
  <c r="K611" i="10"/>
  <c r="K613" i="10"/>
  <c r="K615" i="10"/>
  <c r="K617" i="10"/>
  <c r="K621" i="10"/>
  <c r="K623" i="10"/>
  <c r="O564" i="11"/>
  <c r="K616" i="11"/>
  <c r="L32" i="12"/>
  <c r="L24" i="12"/>
  <c r="N96" i="12"/>
  <c r="K270" i="12"/>
  <c r="K418" i="12"/>
  <c r="K430" i="12"/>
  <c r="N644" i="12"/>
  <c r="N640" i="12" s="1"/>
  <c r="N638" i="12" s="1"/>
  <c r="N636" i="12" s="1"/>
  <c r="P33" i="13"/>
  <c r="M13" i="13"/>
  <c r="P13" i="13" s="1"/>
  <c r="O54" i="13"/>
  <c r="L70" i="13"/>
  <c r="P98" i="13"/>
  <c r="M96" i="13"/>
  <c r="O119" i="13"/>
  <c r="L252" i="13"/>
  <c r="O252" i="13" s="1"/>
  <c r="K402" i="13"/>
  <c r="P32" i="14"/>
  <c r="M30" i="14"/>
  <c r="P30" i="14" s="1"/>
  <c r="P141" i="14"/>
  <c r="M140" i="14"/>
  <c r="O272" i="14"/>
  <c r="P330" i="14"/>
  <c r="O49" i="12"/>
  <c r="M53" i="12"/>
  <c r="M68" i="12"/>
  <c r="P74" i="12"/>
  <c r="P333" i="12"/>
  <c r="K416" i="12"/>
  <c r="K428" i="12"/>
  <c r="O601" i="12"/>
  <c r="O25" i="13"/>
  <c r="L15" i="13"/>
  <c r="O15" i="13" s="1"/>
  <c r="P119" i="13"/>
  <c r="M118" i="13"/>
  <c r="K401" i="13"/>
  <c r="K426" i="13"/>
  <c r="O565" i="13"/>
  <c r="L31" i="13"/>
  <c r="K626" i="13"/>
  <c r="K624" i="13"/>
  <c r="K622" i="13"/>
  <c r="K620" i="13"/>
  <c r="K621" i="13"/>
  <c r="K623" i="13"/>
  <c r="K625" i="13"/>
  <c r="P24" i="14"/>
  <c r="M14" i="14"/>
  <c r="P14" i="14" s="1"/>
  <c r="L254" i="14"/>
  <c r="O337" i="12"/>
  <c r="M22" i="13"/>
  <c r="O354" i="14"/>
  <c r="L34" i="14"/>
  <c r="N22" i="15"/>
  <c r="N68" i="15"/>
  <c r="P68" i="15" s="1"/>
  <c r="N96" i="15"/>
  <c r="N94" i="15" s="1"/>
  <c r="L32" i="15"/>
  <c r="O352" i="15"/>
  <c r="O581" i="16"/>
  <c r="L31" i="16"/>
  <c r="O599" i="16"/>
  <c r="L32" i="16"/>
  <c r="K621" i="11"/>
  <c r="K623" i="11"/>
  <c r="L23" i="13"/>
  <c r="L26" i="13"/>
  <c r="P32" i="13"/>
  <c r="M30" i="13"/>
  <c r="P30" i="13" s="1"/>
  <c r="K235" i="13"/>
  <c r="P275" i="13"/>
  <c r="N331" i="13"/>
  <c r="L34" i="13"/>
  <c r="K370" i="13"/>
  <c r="K396" i="13"/>
  <c r="O439" i="13"/>
  <c r="N19" i="14"/>
  <c r="L23" i="14"/>
  <c r="M66" i="14"/>
  <c r="P66" i="14" s="1"/>
  <c r="K229" i="14"/>
  <c r="K340" i="14"/>
  <c r="L32" i="14"/>
  <c r="O352" i="14"/>
  <c r="N34" i="14"/>
  <c r="N14" i="14" s="1"/>
  <c r="P24" i="15"/>
  <c r="M14" i="15"/>
  <c r="P14" i="15" s="1"/>
  <c r="K612" i="12"/>
  <c r="K614" i="12"/>
  <c r="K616" i="12"/>
  <c r="K620" i="12"/>
  <c r="K622" i="12"/>
  <c r="K624" i="12"/>
  <c r="M16" i="13"/>
  <c r="N43" i="13"/>
  <c r="P43" i="13" s="1"/>
  <c r="P67" i="13"/>
  <c r="M140" i="13"/>
  <c r="K368" i="13"/>
  <c r="N31" i="13"/>
  <c r="N29" i="13" s="1"/>
  <c r="O437" i="13"/>
  <c r="P23" i="14"/>
  <c r="M13" i="14"/>
  <c r="P13" i="14" s="1"/>
  <c r="P25" i="14"/>
  <c r="M15" i="14"/>
  <c r="P15" i="14" s="1"/>
  <c r="K350" i="14"/>
  <c r="P11" i="15"/>
  <c r="L26" i="16"/>
  <c r="O61" i="16"/>
  <c r="O221" i="16"/>
  <c r="M55" i="13"/>
  <c r="P57" i="13"/>
  <c r="K189" i="13"/>
  <c r="K219" i="13"/>
  <c r="P337" i="13"/>
  <c r="O435" i="13"/>
  <c r="P31" i="14"/>
  <c r="M29" i="14"/>
  <c r="M96" i="14"/>
  <c r="P102" i="14"/>
  <c r="K349" i="14"/>
  <c r="K418" i="14"/>
  <c r="K430" i="14"/>
  <c r="O459" i="14"/>
  <c r="P31" i="15"/>
  <c r="M29" i="15"/>
  <c r="P54" i="15"/>
  <c r="M53" i="15"/>
  <c r="O671" i="15"/>
  <c r="L640" i="15"/>
  <c r="P32" i="15"/>
  <c r="M30" i="15"/>
  <c r="P30" i="15" s="1"/>
  <c r="M26" i="15"/>
  <c r="M142" i="15"/>
  <c r="M331" i="15"/>
  <c r="P337" i="15"/>
  <c r="P42" i="16"/>
  <c r="P25" i="17"/>
  <c r="M15" i="17"/>
  <c r="M19" i="17"/>
  <c r="K612" i="13"/>
  <c r="K614" i="13"/>
  <c r="K616" i="13"/>
  <c r="L26" i="14"/>
  <c r="O406" i="14"/>
  <c r="K424" i="14"/>
  <c r="O555" i="14"/>
  <c r="O601" i="14"/>
  <c r="L26" i="15"/>
  <c r="O74" i="15"/>
  <c r="K200" i="15"/>
  <c r="N31" i="15"/>
  <c r="O457" i="15"/>
  <c r="O599" i="15"/>
  <c r="N644" i="15"/>
  <c r="N640" i="15" s="1"/>
  <c r="N638" i="15" s="1"/>
  <c r="N636" i="15" s="1"/>
  <c r="L34" i="16"/>
  <c r="O459" i="16"/>
  <c r="O404" i="14"/>
  <c r="K422" i="14"/>
  <c r="P25" i="15"/>
  <c r="M15" i="15"/>
  <c r="P15" i="15" s="1"/>
  <c r="O380" i="15"/>
  <c r="K416" i="15"/>
  <c r="K422" i="15"/>
  <c r="K428" i="15"/>
  <c r="K402" i="14"/>
  <c r="K420" i="14"/>
  <c r="K432" i="14"/>
  <c r="O553" i="14"/>
  <c r="O599" i="14"/>
  <c r="P67" i="15"/>
  <c r="M66" i="15"/>
  <c r="P70" i="15"/>
  <c r="M22" i="15"/>
  <c r="P148" i="15"/>
  <c r="O455" i="15"/>
  <c r="O597" i="15"/>
  <c r="P294" i="16"/>
  <c r="M292" i="16"/>
  <c r="P292" i="16" s="1"/>
  <c r="L333" i="16"/>
  <c r="O221" i="17"/>
  <c r="M220" i="16"/>
  <c r="O258" i="16"/>
  <c r="L33" i="16"/>
  <c r="O33" i="16" s="1"/>
  <c r="O384" i="16"/>
  <c r="P254" i="17"/>
  <c r="M252" i="17"/>
  <c r="M250" i="17" s="1"/>
  <c r="L33" i="17"/>
  <c r="O33" i="17" s="1"/>
  <c r="O384" i="17"/>
  <c r="K626" i="15"/>
  <c r="K624" i="15"/>
  <c r="K622" i="15"/>
  <c r="K620" i="15"/>
  <c r="K625" i="15"/>
  <c r="K623" i="15"/>
  <c r="K621" i="15"/>
  <c r="O25" i="16"/>
  <c r="L15" i="16"/>
  <c r="O15" i="16" s="1"/>
  <c r="P57" i="16"/>
  <c r="M22" i="16"/>
  <c r="M55" i="16"/>
  <c r="P251" i="16"/>
  <c r="K618" i="16"/>
  <c r="K616" i="16"/>
  <c r="K614" i="16"/>
  <c r="K612" i="16"/>
  <c r="K619" i="16"/>
  <c r="K617" i="16"/>
  <c r="K615" i="16"/>
  <c r="K613" i="16"/>
  <c r="K611" i="16"/>
  <c r="O251" i="17"/>
  <c r="N22" i="18"/>
  <c r="P70" i="18"/>
  <c r="N68" i="18"/>
  <c r="K612" i="14"/>
  <c r="K614" i="14"/>
  <c r="K616" i="14"/>
  <c r="K620" i="14"/>
  <c r="K622" i="14"/>
  <c r="K624" i="14"/>
  <c r="L19" i="16"/>
  <c r="N19" i="16"/>
  <c r="P25" i="16"/>
  <c r="M15" i="16"/>
  <c r="P15" i="16" s="1"/>
  <c r="P32" i="16"/>
  <c r="M30" i="16"/>
  <c r="P30" i="16" s="1"/>
  <c r="L70" i="16"/>
  <c r="L23" i="16"/>
  <c r="N250" i="16"/>
  <c r="N22" i="16"/>
  <c r="O318" i="16"/>
  <c r="N19" i="17"/>
  <c r="M43" i="17"/>
  <c r="P49" i="17"/>
  <c r="P251" i="17"/>
  <c r="K618" i="15"/>
  <c r="K616" i="15"/>
  <c r="K619" i="15"/>
  <c r="K617" i="15"/>
  <c r="K615" i="15"/>
  <c r="K628" i="15"/>
  <c r="K634" i="15"/>
  <c r="M19" i="16"/>
  <c r="K84" i="16"/>
  <c r="M252" i="16"/>
  <c r="P252" i="16" s="1"/>
  <c r="O291" i="16"/>
  <c r="P311" i="16"/>
  <c r="N31" i="16"/>
  <c r="N29" i="16" s="1"/>
  <c r="K630" i="16"/>
  <c r="K369" i="17"/>
  <c r="I367" i="17"/>
  <c r="K367" i="17" s="1"/>
  <c r="N22" i="17"/>
  <c r="P19" i="18"/>
  <c r="O671" i="16"/>
  <c r="L640" i="16"/>
  <c r="M13" i="17"/>
  <c r="P13" i="17" s="1"/>
  <c r="P32" i="17"/>
  <c r="M30" i="17"/>
  <c r="O49" i="17"/>
  <c r="P57" i="17"/>
  <c r="M22" i="17"/>
  <c r="M55" i="17"/>
  <c r="O291" i="17"/>
  <c r="P311" i="17"/>
  <c r="M29" i="16"/>
  <c r="N26" i="17"/>
  <c r="N16" i="17" s="1"/>
  <c r="M222" i="17"/>
  <c r="M220" i="17" s="1"/>
  <c r="N252" i="17"/>
  <c r="N250" i="17" s="1"/>
  <c r="K328" i="17"/>
  <c r="L24" i="18"/>
  <c r="L45" i="18"/>
  <c r="N644" i="16"/>
  <c r="N640" i="16" s="1"/>
  <c r="N638" i="16" s="1"/>
  <c r="N636" i="16" s="1"/>
  <c r="L70" i="17"/>
  <c r="L23" i="17"/>
  <c r="K93" i="17"/>
  <c r="K158" i="17"/>
  <c r="O258" i="17"/>
  <c r="M312" i="17"/>
  <c r="P312" i="17" s="1"/>
  <c r="P23" i="18"/>
  <c r="M13" i="18"/>
  <c r="P13" i="18" s="1"/>
  <c r="N15" i="18"/>
  <c r="N19" i="18"/>
  <c r="O251" i="18"/>
  <c r="P24" i="18"/>
  <c r="M14" i="18"/>
  <c r="P14" i="18" s="1"/>
  <c r="P224" i="18"/>
  <c r="M222" i="18"/>
  <c r="M22" i="18"/>
  <c r="P251" i="18"/>
  <c r="M250" i="18"/>
  <c r="O272" i="18"/>
  <c r="M102" i="17"/>
  <c r="P31" i="18"/>
  <c r="M29" i="18"/>
  <c r="O439" i="18"/>
  <c r="L34" i="18"/>
  <c r="O406" i="18"/>
  <c r="N34" i="18"/>
  <c r="N14" i="18" s="1"/>
  <c r="K482" i="17"/>
  <c r="K626" i="17"/>
  <c r="K624" i="17"/>
  <c r="K622" i="17"/>
  <c r="K620" i="17"/>
  <c r="M11" i="18"/>
  <c r="L23" i="18"/>
  <c r="K80" i="18"/>
  <c r="K83" i="18"/>
  <c r="P311" i="18"/>
  <c r="M310" i="18"/>
  <c r="K589" i="18"/>
  <c r="K612" i="17"/>
  <c r="K614" i="17"/>
  <c r="K616" i="17"/>
  <c r="K81" i="18"/>
  <c r="P254" i="18"/>
  <c r="K264" i="18"/>
  <c r="P314" i="18"/>
  <c r="K595" i="18"/>
  <c r="K611" i="18"/>
  <c r="K613" i="18"/>
  <c r="K615" i="18"/>
  <c r="K617" i="18"/>
  <c r="K621" i="18"/>
  <c r="K623" i="18"/>
  <c r="L96" i="8" l="1"/>
  <c r="L94" i="8" s="1"/>
  <c r="L55" i="15"/>
  <c r="O57" i="6"/>
  <c r="P120" i="6"/>
  <c r="L43" i="14"/>
  <c r="L120" i="15"/>
  <c r="L118" i="15" s="1"/>
  <c r="O118" i="15" s="1"/>
  <c r="L55" i="7"/>
  <c r="P252" i="3"/>
  <c r="O45" i="16"/>
  <c r="P118" i="8"/>
  <c r="K328" i="1"/>
  <c r="L68" i="5"/>
  <c r="L66" i="5" s="1"/>
  <c r="O66" i="5" s="1"/>
  <c r="L68" i="9"/>
  <c r="O68" i="9" s="1"/>
  <c r="O294" i="12"/>
  <c r="K219" i="1"/>
  <c r="O294" i="4"/>
  <c r="O68" i="3"/>
  <c r="O144" i="16"/>
  <c r="L252" i="11"/>
  <c r="O252" i="11" s="1"/>
  <c r="O564" i="1"/>
  <c r="K428" i="1"/>
  <c r="P55" i="11"/>
  <c r="O45" i="11"/>
  <c r="K266" i="1"/>
  <c r="L120" i="16"/>
  <c r="M290" i="12"/>
  <c r="P290" i="12" s="1"/>
  <c r="L312" i="10"/>
  <c r="O312" i="10" s="1"/>
  <c r="L68" i="14"/>
  <c r="L66" i="14" s="1"/>
  <c r="O66" i="14" s="1"/>
  <c r="K614" i="1"/>
  <c r="L331" i="3"/>
  <c r="O331" i="3" s="1"/>
  <c r="L292" i="6"/>
  <c r="O292" i="6" s="1"/>
  <c r="J651" i="1"/>
  <c r="K651" i="1" s="1"/>
  <c r="K422" i="1"/>
  <c r="O314" i="17"/>
  <c r="O599" i="1"/>
  <c r="K289" i="1"/>
  <c r="O551" i="1"/>
  <c r="K372" i="1"/>
  <c r="L120" i="2"/>
  <c r="L118" i="2" s="1"/>
  <c r="O118" i="2" s="1"/>
  <c r="O273" i="13"/>
  <c r="L142" i="3"/>
  <c r="O142" i="3" s="1"/>
  <c r="K306" i="1"/>
  <c r="K113" i="1"/>
  <c r="K87" i="1"/>
  <c r="P273" i="10"/>
  <c r="K65" i="1"/>
  <c r="K427" i="1"/>
  <c r="K164" i="1"/>
  <c r="P120" i="8"/>
  <c r="L273" i="14"/>
  <c r="O273" i="14" s="1"/>
  <c r="O668" i="1"/>
  <c r="K112" i="1"/>
  <c r="O31" i="15"/>
  <c r="L292" i="18"/>
  <c r="O292" i="18" s="1"/>
  <c r="L331" i="8"/>
  <c r="L329" i="8" s="1"/>
  <c r="O329" i="8" s="1"/>
  <c r="N220" i="11"/>
  <c r="P220" i="11" s="1"/>
  <c r="O455" i="1"/>
  <c r="K324" i="1"/>
  <c r="O224" i="3"/>
  <c r="P273" i="15"/>
  <c r="O437" i="1"/>
  <c r="K473" i="1"/>
  <c r="O459" i="1"/>
  <c r="O122" i="17"/>
  <c r="O314" i="7"/>
  <c r="L273" i="6"/>
  <c r="L271" i="6" s="1"/>
  <c r="O650" i="1"/>
  <c r="K84" i="1"/>
  <c r="P312" i="13"/>
  <c r="M271" i="9"/>
  <c r="P271" i="9" s="1"/>
  <c r="L273" i="12"/>
  <c r="O273" i="12" s="1"/>
  <c r="L96" i="7"/>
  <c r="O96" i="7" s="1"/>
  <c r="L292" i="9"/>
  <c r="O292" i="9" s="1"/>
  <c r="O314" i="5"/>
  <c r="K482" i="1"/>
  <c r="L43" i="4"/>
  <c r="L41" i="4" s="1"/>
  <c r="O41" i="4" s="1"/>
  <c r="P250" i="3"/>
  <c r="L222" i="14"/>
  <c r="L220" i="14" s="1"/>
  <c r="O220" i="14" s="1"/>
  <c r="O671" i="1"/>
  <c r="K402" i="1"/>
  <c r="L252" i="8"/>
  <c r="O252" i="8" s="1"/>
  <c r="K573" i="1"/>
  <c r="P220" i="17"/>
  <c r="L96" i="5"/>
  <c r="O96" i="5" s="1"/>
  <c r="O254" i="6"/>
  <c r="O96" i="8"/>
  <c r="K533" i="1"/>
  <c r="L68" i="12"/>
  <c r="L66" i="12" s="1"/>
  <c r="L222" i="10"/>
  <c r="O222" i="10" s="1"/>
  <c r="K375" i="1"/>
  <c r="N55" i="1"/>
  <c r="N53" i="1" s="1"/>
  <c r="P53" i="1" s="1"/>
  <c r="O222" i="9"/>
  <c r="O102" i="1"/>
  <c r="L312" i="12"/>
  <c r="O312" i="12" s="1"/>
  <c r="L292" i="5"/>
  <c r="O292" i="5" s="1"/>
  <c r="P140" i="6"/>
  <c r="O347" i="1"/>
  <c r="K235" i="1"/>
  <c r="P142" i="6"/>
  <c r="O45" i="8"/>
  <c r="O45" i="2"/>
  <c r="N11" i="5"/>
  <c r="N9" i="5" s="1"/>
  <c r="K216" i="1"/>
  <c r="L142" i="9"/>
  <c r="O142" i="9" s="1"/>
  <c r="K589" i="1"/>
  <c r="K81" i="1"/>
  <c r="P314" i="1"/>
  <c r="O98" i="15"/>
  <c r="K381" i="1"/>
  <c r="M118" i="6"/>
  <c r="P118" i="6" s="1"/>
  <c r="L273" i="9"/>
  <c r="O273" i="9" s="1"/>
  <c r="M94" i="15"/>
  <c r="P94" i="15" s="1"/>
  <c r="L312" i="8"/>
  <c r="O312" i="8" s="1"/>
  <c r="L96" i="2"/>
  <c r="O96" i="2" s="1"/>
  <c r="M250" i="5"/>
  <c r="P250" i="5" s="1"/>
  <c r="L292" i="11"/>
  <c r="O292" i="11" s="1"/>
  <c r="P331" i="16"/>
  <c r="K629" i="1"/>
  <c r="O294" i="16"/>
  <c r="O275" i="15"/>
  <c r="K401" i="1"/>
  <c r="L222" i="16"/>
  <c r="O222" i="16" s="1"/>
  <c r="L252" i="5"/>
  <c r="O252" i="5" s="1"/>
  <c r="O349" i="1"/>
  <c r="O665" i="1"/>
  <c r="K377" i="1"/>
  <c r="L273" i="18"/>
  <c r="L271" i="18" s="1"/>
  <c r="O271" i="18" s="1"/>
  <c r="P337" i="6"/>
  <c r="M290" i="5"/>
  <c r="P290" i="5" s="1"/>
  <c r="O584" i="1"/>
  <c r="K547" i="1"/>
  <c r="O254" i="7"/>
  <c r="L11" i="17"/>
  <c r="O11" i="17" s="1"/>
  <c r="O597" i="1"/>
  <c r="P331" i="6"/>
  <c r="P43" i="15"/>
  <c r="M290" i="10"/>
  <c r="P290" i="10" s="1"/>
  <c r="O648" i="1"/>
  <c r="K432" i="1"/>
  <c r="P55" i="14"/>
  <c r="K499" i="1"/>
  <c r="O96" i="12"/>
  <c r="L312" i="13"/>
  <c r="O312" i="13" s="1"/>
  <c r="O98" i="12"/>
  <c r="O122" i="18"/>
  <c r="N329" i="6"/>
  <c r="P329" i="6" s="1"/>
  <c r="O406" i="1"/>
  <c r="O122" i="6"/>
  <c r="K423" i="1"/>
  <c r="K176" i="1"/>
  <c r="N118" i="12"/>
  <c r="P118" i="12" s="1"/>
  <c r="K612" i="1"/>
  <c r="K613" i="1"/>
  <c r="K464" i="1"/>
  <c r="K343" i="1"/>
  <c r="K630" i="1"/>
  <c r="K80" i="1"/>
  <c r="O380" i="1"/>
  <c r="K349" i="1"/>
  <c r="K111" i="1"/>
  <c r="M118" i="9"/>
  <c r="P118" i="9" s="1"/>
  <c r="L55" i="16"/>
  <c r="O55" i="16" s="1"/>
  <c r="O34" i="5"/>
  <c r="P310" i="2"/>
  <c r="K229" i="1"/>
  <c r="L222" i="4"/>
  <c r="O222" i="4" s="1"/>
  <c r="K418" i="1"/>
  <c r="L312" i="16"/>
  <c r="O312" i="16" s="1"/>
  <c r="P222" i="8"/>
  <c r="P331" i="14"/>
  <c r="O275" i="5"/>
  <c r="P140" i="18"/>
  <c r="M53" i="11"/>
  <c r="P53" i="11" s="1"/>
  <c r="O275" i="11"/>
  <c r="K498" i="1"/>
  <c r="K628" i="1"/>
  <c r="L43" i="3"/>
  <c r="L41" i="3" s="1"/>
  <c r="O41" i="3" s="1"/>
  <c r="M290" i="11"/>
  <c r="P290" i="11" s="1"/>
  <c r="O140" i="16"/>
  <c r="L222" i="17"/>
  <c r="O222" i="17" s="1"/>
  <c r="K564" i="1"/>
  <c r="O537" i="1"/>
  <c r="P55" i="8"/>
  <c r="O122" i="4"/>
  <c r="P120" i="17"/>
  <c r="O43" i="2"/>
  <c r="O31" i="3"/>
  <c r="O457" i="1"/>
  <c r="K621" i="1"/>
  <c r="K663" i="1"/>
  <c r="K449" i="1"/>
  <c r="K619" i="1"/>
  <c r="K465" i="1"/>
  <c r="P55" i="13"/>
  <c r="P222" i="7"/>
  <c r="O224" i="2"/>
  <c r="N20" i="2"/>
  <c r="N18" i="2" s="1"/>
  <c r="L11" i="3"/>
  <c r="O11" i="3" s="1"/>
  <c r="L273" i="3"/>
  <c r="L271" i="3" s="1"/>
  <c r="O271" i="3" s="1"/>
  <c r="P122" i="1"/>
  <c r="O122" i="8"/>
  <c r="L312" i="4"/>
  <c r="O312" i="4" s="1"/>
  <c r="K108" i="1"/>
  <c r="N53" i="15"/>
  <c r="P53" i="15" s="1"/>
  <c r="K416" i="1"/>
  <c r="K110" i="1"/>
  <c r="K83" i="1"/>
  <c r="L43" i="15"/>
  <c r="L41" i="15" s="1"/>
  <c r="O144" i="14"/>
  <c r="P273" i="14"/>
  <c r="L142" i="17"/>
  <c r="O142" i="17" s="1"/>
  <c r="M310" i="9"/>
  <c r="P310" i="9" s="1"/>
  <c r="O566" i="1"/>
  <c r="O661" i="1"/>
  <c r="O120" i="3"/>
  <c r="O55" i="10"/>
  <c r="P142" i="3"/>
  <c r="O275" i="13"/>
  <c r="O401" i="1"/>
  <c r="O404" i="1"/>
  <c r="P250" i="4"/>
  <c r="K345" i="1"/>
  <c r="K622" i="1"/>
  <c r="K648" i="1"/>
  <c r="K340" i="1"/>
  <c r="O222" i="12"/>
  <c r="K625" i="1"/>
  <c r="K397" i="1"/>
  <c r="O354" i="1"/>
  <c r="N66" i="8"/>
  <c r="P66" i="8" s="1"/>
  <c r="K665" i="1"/>
  <c r="P222" i="6"/>
  <c r="L331" i="9"/>
  <c r="O331" i="9" s="1"/>
  <c r="K173" i="1"/>
  <c r="K421" i="1"/>
  <c r="K451" i="1"/>
  <c r="K626" i="1"/>
  <c r="O222" i="13"/>
  <c r="P55" i="12"/>
  <c r="L120" i="5"/>
  <c r="L118" i="5" s="1"/>
  <c r="O118" i="5" s="1"/>
  <c r="P333" i="1"/>
  <c r="O555" i="1"/>
  <c r="P331" i="11"/>
  <c r="P220" i="6"/>
  <c r="K623" i="1"/>
  <c r="K595" i="1"/>
  <c r="K481" i="1"/>
  <c r="O333" i="14"/>
  <c r="L252" i="16"/>
  <c r="L250" i="16" s="1"/>
  <c r="O250" i="16" s="1"/>
  <c r="L43" i="13"/>
  <c r="O43" i="13" s="1"/>
  <c r="P220" i="15"/>
  <c r="K620" i="1"/>
  <c r="K617" i="1"/>
  <c r="P337" i="12"/>
  <c r="L43" i="6"/>
  <c r="O43" i="6" s="1"/>
  <c r="K370" i="1"/>
  <c r="O568" i="1"/>
  <c r="M331" i="12"/>
  <c r="M329" i="12" s="1"/>
  <c r="P252" i="13"/>
  <c r="L142" i="2"/>
  <c r="O142" i="2" s="1"/>
  <c r="O30" i="17"/>
  <c r="P96" i="18"/>
  <c r="K632" i="1"/>
  <c r="P224" i="1"/>
  <c r="P140" i="10"/>
  <c r="K138" i="1"/>
  <c r="K264" i="1"/>
  <c r="K92" i="1"/>
  <c r="K204" i="1"/>
  <c r="K426" i="1"/>
  <c r="K591" i="1"/>
  <c r="K649" i="1"/>
  <c r="N11" i="18"/>
  <c r="N9" i="18" s="1"/>
  <c r="K304" i="1"/>
  <c r="P140" i="4"/>
  <c r="L638" i="13"/>
  <c r="O638" i="13" s="1"/>
  <c r="N12" i="13"/>
  <c r="N10" i="13" s="1"/>
  <c r="P142" i="15"/>
  <c r="L638" i="8"/>
  <c r="O638" i="8" s="1"/>
  <c r="P43" i="16"/>
  <c r="O142" i="18"/>
  <c r="K593" i="1"/>
  <c r="O98" i="16"/>
  <c r="K199" i="1"/>
  <c r="P294" i="1"/>
  <c r="P142" i="13"/>
  <c r="O333" i="11"/>
  <c r="L312" i="11"/>
  <c r="O312" i="11" s="1"/>
  <c r="K109" i="1"/>
  <c r="K450" i="1"/>
  <c r="M310" i="7"/>
  <c r="P310" i="7" s="1"/>
  <c r="N28" i="17"/>
  <c r="K435" i="1"/>
  <c r="P118" i="13"/>
  <c r="K270" i="1"/>
  <c r="M53" i="14"/>
  <c r="P53" i="14" s="1"/>
  <c r="O333" i="10"/>
  <c r="P120" i="13"/>
  <c r="K376" i="1"/>
  <c r="P142" i="4"/>
  <c r="O16" i="4"/>
  <c r="P68" i="6"/>
  <c r="K474" i="1"/>
  <c r="P142" i="10"/>
  <c r="K420" i="1"/>
  <c r="K215" i="1"/>
  <c r="P144" i="1"/>
  <c r="O333" i="13"/>
  <c r="N250" i="18"/>
  <c r="P250" i="18" s="1"/>
  <c r="N29" i="8"/>
  <c r="N28" i="8" s="1"/>
  <c r="K597" i="1"/>
  <c r="O640" i="17"/>
  <c r="L96" i="13"/>
  <c r="O96" i="13" s="1"/>
  <c r="O352" i="1"/>
  <c r="O649" i="1"/>
  <c r="N140" i="12"/>
  <c r="P140" i="12" s="1"/>
  <c r="L252" i="10"/>
  <c r="O252" i="10" s="1"/>
  <c r="P222" i="16"/>
  <c r="K149" i="1"/>
  <c r="P68" i="4"/>
  <c r="P331" i="17"/>
  <c r="P57" i="1"/>
  <c r="M290" i="2"/>
  <c r="P290" i="2" s="1"/>
  <c r="K93" i="1"/>
  <c r="O651" i="1"/>
  <c r="M12" i="2"/>
  <c r="M10" i="2" s="1"/>
  <c r="P142" i="16"/>
  <c r="K580" i="1"/>
  <c r="K424" i="1"/>
  <c r="K213" i="1"/>
  <c r="M41" i="16"/>
  <c r="P41" i="16" s="1"/>
  <c r="L142" i="8"/>
  <c r="P271" i="18"/>
  <c r="P118" i="11"/>
  <c r="L96" i="18"/>
  <c r="O96" i="18" s="1"/>
  <c r="O142" i="16"/>
  <c r="M26" i="14"/>
  <c r="M20" i="14" s="1"/>
  <c r="O331" i="13"/>
  <c r="P43" i="9"/>
  <c r="P337" i="8"/>
  <c r="L142" i="6"/>
  <c r="O142" i="6" s="1"/>
  <c r="N20" i="6"/>
  <c r="N18" i="6" s="1"/>
  <c r="K618" i="1"/>
  <c r="K267" i="1"/>
  <c r="K635" i="1"/>
  <c r="O439" i="1"/>
  <c r="L68" i="8"/>
  <c r="O68" i="8" s="1"/>
  <c r="K86" i="1"/>
  <c r="P120" i="11"/>
  <c r="K201" i="1"/>
  <c r="K189" i="1"/>
  <c r="L292" i="2"/>
  <c r="O292" i="2" s="1"/>
  <c r="O222" i="2"/>
  <c r="L142" i="4"/>
  <c r="O142" i="4" s="1"/>
  <c r="L312" i="2"/>
  <c r="L310" i="2" s="1"/>
  <c r="O310" i="2" s="1"/>
  <c r="K466" i="1"/>
  <c r="O74" i="1"/>
  <c r="O70" i="10"/>
  <c r="M20" i="5"/>
  <c r="M18" i="5" s="1"/>
  <c r="K117" i="1"/>
  <c r="M66" i="6"/>
  <c r="P66" i="6" s="1"/>
  <c r="P254" i="1"/>
  <c r="O144" i="18"/>
  <c r="L252" i="4"/>
  <c r="O252" i="4" s="1"/>
  <c r="N66" i="3"/>
  <c r="O66" i="3" s="1"/>
  <c r="P292" i="18"/>
  <c r="P331" i="8"/>
  <c r="O275" i="4"/>
  <c r="N644" i="1"/>
  <c r="N640" i="1" s="1"/>
  <c r="N638" i="1" s="1"/>
  <c r="N636" i="1" s="1"/>
  <c r="M94" i="10"/>
  <c r="P94" i="10" s="1"/>
  <c r="O70" i="18"/>
  <c r="N28" i="13"/>
  <c r="O333" i="12"/>
  <c r="O68" i="18"/>
  <c r="N29" i="14"/>
  <c r="N28" i="14" s="1"/>
  <c r="N271" i="6"/>
  <c r="P271" i="6" s="1"/>
  <c r="O142" i="7"/>
  <c r="P68" i="3"/>
  <c r="O580" i="1"/>
  <c r="O553" i="1"/>
  <c r="M290" i="17"/>
  <c r="P290" i="17" s="1"/>
  <c r="O70" i="15"/>
  <c r="P337" i="14"/>
  <c r="O275" i="16"/>
  <c r="O122" i="7"/>
  <c r="L142" i="5"/>
  <c r="O142" i="5" s="1"/>
  <c r="N220" i="2"/>
  <c r="L222" i="5"/>
  <c r="O222" i="5" s="1"/>
  <c r="K615" i="1"/>
  <c r="K396" i="1"/>
  <c r="P22" i="2"/>
  <c r="P41" i="18"/>
  <c r="P140" i="16"/>
  <c r="N140" i="7"/>
  <c r="P140" i="7" s="1"/>
  <c r="L312" i="6"/>
  <c r="O312" i="6" s="1"/>
  <c r="L68" i="6"/>
  <c r="O68" i="6" s="1"/>
  <c r="K633" i="1"/>
  <c r="O34" i="17"/>
  <c r="M310" i="10"/>
  <c r="P310" i="10" s="1"/>
  <c r="P222" i="18"/>
  <c r="M310" i="16"/>
  <c r="P310" i="16" s="1"/>
  <c r="N329" i="3"/>
  <c r="P329" i="3" s="1"/>
  <c r="L43" i="10"/>
  <c r="L41" i="10" s="1"/>
  <c r="O41" i="10" s="1"/>
  <c r="L142" i="10"/>
  <c r="O142" i="10" s="1"/>
  <c r="P271" i="7"/>
  <c r="O70" i="11"/>
  <c r="K85" i="1"/>
  <c r="K631" i="1"/>
  <c r="O533" i="1"/>
  <c r="N22" i="1"/>
  <c r="P271" i="15"/>
  <c r="L222" i="15"/>
  <c r="O222" i="15" s="1"/>
  <c r="K634" i="1"/>
  <c r="K611" i="1"/>
  <c r="P70" i="1"/>
  <c r="M329" i="8"/>
  <c r="P329" i="8" s="1"/>
  <c r="P53" i="8"/>
  <c r="O273" i="8"/>
  <c r="O224" i="18"/>
  <c r="L55" i="9"/>
  <c r="O55" i="9" s="1"/>
  <c r="P220" i="16"/>
  <c r="L331" i="6"/>
  <c r="O331" i="6" s="1"/>
  <c r="O224" i="8"/>
  <c r="L222" i="11"/>
  <c r="L120" i="9"/>
  <c r="O120" i="9" s="1"/>
  <c r="O34" i="7"/>
  <c r="N12" i="6"/>
  <c r="N28" i="6"/>
  <c r="N28" i="16"/>
  <c r="O32" i="17"/>
  <c r="M118" i="14"/>
  <c r="P118" i="14" s="1"/>
  <c r="O57" i="12"/>
  <c r="N271" i="10"/>
  <c r="O271" i="10" s="1"/>
  <c r="O275" i="8"/>
  <c r="L331" i="2"/>
  <c r="L329" i="2" s="1"/>
  <c r="O329" i="2" s="1"/>
  <c r="P120" i="5"/>
  <c r="P41" i="9"/>
  <c r="O34" i="16"/>
  <c r="P43" i="11"/>
  <c r="L11" i="2"/>
  <c r="L9" i="2" s="1"/>
  <c r="P252" i="11"/>
  <c r="M118" i="7"/>
  <c r="P118" i="7" s="1"/>
  <c r="P41" i="15"/>
  <c r="P118" i="5"/>
  <c r="P312" i="18"/>
  <c r="O314" i="18"/>
  <c r="O333" i="15"/>
  <c r="L29" i="15"/>
  <c r="O29" i="15" s="1"/>
  <c r="P53" i="7"/>
  <c r="L55" i="3"/>
  <c r="O55" i="3" s="1"/>
  <c r="N28" i="3"/>
  <c r="P68" i="5"/>
  <c r="P142" i="9"/>
  <c r="O148" i="1"/>
  <c r="L220" i="9"/>
  <c r="O220" i="9" s="1"/>
  <c r="M250" i="10"/>
  <c r="P250" i="10" s="1"/>
  <c r="O30" i="18"/>
  <c r="L94" i="15"/>
  <c r="O94" i="15" s="1"/>
  <c r="L96" i="17"/>
  <c r="L94" i="17" s="1"/>
  <c r="O94" i="17" s="1"/>
  <c r="L9" i="15"/>
  <c r="O9" i="15" s="1"/>
  <c r="P55" i="2"/>
  <c r="P102" i="3"/>
  <c r="N11" i="7"/>
  <c r="N9" i="7" s="1"/>
  <c r="L43" i="17"/>
  <c r="L41" i="17" s="1"/>
  <c r="K200" i="1"/>
  <c r="L331" i="18"/>
  <c r="M26" i="3"/>
  <c r="M16" i="3" s="1"/>
  <c r="P16" i="3" s="1"/>
  <c r="L292" i="7"/>
  <c r="O292" i="7" s="1"/>
  <c r="P22" i="5"/>
  <c r="K133" i="1"/>
  <c r="N11" i="6"/>
  <c r="N9" i="6" s="1"/>
  <c r="M94" i="18"/>
  <c r="P94" i="18" s="1"/>
  <c r="N292" i="1"/>
  <c r="O254" i="15"/>
  <c r="N120" i="1"/>
  <c r="J671" i="1"/>
  <c r="K671" i="1" s="1"/>
  <c r="L222" i="7"/>
  <c r="K369" i="1"/>
  <c r="I367" i="1"/>
  <c r="K367" i="1" s="1"/>
  <c r="L292" i="14"/>
  <c r="L290" i="14" s="1"/>
  <c r="O290" i="14" s="1"/>
  <c r="L43" i="9"/>
  <c r="L41" i="9" s="1"/>
  <c r="O68" i="10"/>
  <c r="P53" i="6"/>
  <c r="M310" i="3"/>
  <c r="P310" i="3" s="1"/>
  <c r="P222" i="5"/>
  <c r="P120" i="15"/>
  <c r="O254" i="17"/>
  <c r="M94" i="2"/>
  <c r="P94" i="2" s="1"/>
  <c r="L55" i="18"/>
  <c r="N41" i="17"/>
  <c r="P16" i="13"/>
  <c r="P271" i="13"/>
  <c r="N66" i="12"/>
  <c r="M290" i="9"/>
  <c r="P290" i="9" s="1"/>
  <c r="L252" i="3"/>
  <c r="O252" i="3" s="1"/>
  <c r="N11" i="3"/>
  <c r="N9" i="3" s="1"/>
  <c r="N312" i="1"/>
  <c r="P55" i="6"/>
  <c r="N33" i="1"/>
  <c r="N13" i="1" s="1"/>
  <c r="K185" i="1"/>
  <c r="P43" i="18"/>
  <c r="O120" i="4"/>
  <c r="L252" i="18"/>
  <c r="O252" i="18" s="1"/>
  <c r="P26" i="13"/>
  <c r="O45" i="12"/>
  <c r="L120" i="10"/>
  <c r="O120" i="10" s="1"/>
  <c r="P22" i="7"/>
  <c r="L331" i="4"/>
  <c r="O331" i="4" s="1"/>
  <c r="O34" i="3"/>
  <c r="K668" i="1"/>
  <c r="L43" i="7"/>
  <c r="O43" i="7" s="1"/>
  <c r="L96" i="3"/>
  <c r="O96" i="3" s="1"/>
  <c r="K455" i="1"/>
  <c r="L96" i="9"/>
  <c r="L94" i="9" s="1"/>
  <c r="O94" i="9" s="1"/>
  <c r="P312" i="2"/>
  <c r="P273" i="12"/>
  <c r="P118" i="15"/>
  <c r="O252" i="6"/>
  <c r="P222" i="17"/>
  <c r="P43" i="17"/>
  <c r="O273" i="11"/>
  <c r="L273" i="2"/>
  <c r="L271" i="2" s="1"/>
  <c r="O70" i="3"/>
  <c r="P273" i="16"/>
  <c r="L292" i="13"/>
  <c r="O292" i="13" s="1"/>
  <c r="P271" i="12"/>
  <c r="N142" i="1"/>
  <c r="N53" i="18"/>
  <c r="P53" i="18" s="1"/>
  <c r="L312" i="15"/>
  <c r="O312" i="15" s="1"/>
  <c r="L55" i="13"/>
  <c r="O55" i="13" s="1"/>
  <c r="O43" i="11"/>
  <c r="O34" i="6"/>
  <c r="L68" i="7"/>
  <c r="O68" i="7" s="1"/>
  <c r="P250" i="6"/>
  <c r="O34" i="15"/>
  <c r="O122" i="3"/>
  <c r="K425" i="1"/>
  <c r="P142" i="11"/>
  <c r="L96" i="10"/>
  <c r="L94" i="10" s="1"/>
  <c r="O94" i="10" s="1"/>
  <c r="L312" i="9"/>
  <c r="O312" i="9" s="1"/>
  <c r="N140" i="17"/>
  <c r="P140" i="17" s="1"/>
  <c r="P220" i="8"/>
  <c r="O294" i="15"/>
  <c r="O122" i="12"/>
  <c r="P68" i="18"/>
  <c r="N11" i="17"/>
  <c r="N9" i="17" s="1"/>
  <c r="O122" i="11"/>
  <c r="P273" i="5"/>
  <c r="P22" i="8"/>
  <c r="K88" i="1"/>
  <c r="M220" i="10"/>
  <c r="P220" i="10" s="1"/>
  <c r="P96" i="8"/>
  <c r="O252" i="2"/>
  <c r="O601" i="1"/>
  <c r="O312" i="5"/>
  <c r="L310" i="5"/>
  <c r="O310" i="5" s="1"/>
  <c r="O120" i="11"/>
  <c r="L118" i="11"/>
  <c r="O118" i="11" s="1"/>
  <c r="L140" i="12"/>
  <c r="O142" i="12"/>
  <c r="O331" i="11"/>
  <c r="L329" i="11"/>
  <c r="O329" i="11" s="1"/>
  <c r="N28" i="18"/>
  <c r="M28" i="4"/>
  <c r="P28" i="4" s="1"/>
  <c r="P29" i="4"/>
  <c r="N310" i="16"/>
  <c r="N37" i="16" s="1"/>
  <c r="M271" i="14"/>
  <c r="P271" i="14" s="1"/>
  <c r="O57" i="10"/>
  <c r="L252" i="9"/>
  <c r="O331" i="12"/>
  <c r="O273" i="4"/>
  <c r="M28" i="7"/>
  <c r="P28" i="7" s="1"/>
  <c r="O222" i="3"/>
  <c r="K132" i="1"/>
  <c r="N37" i="5"/>
  <c r="K82" i="1"/>
  <c r="M329" i="16"/>
  <c r="P329" i="16" s="1"/>
  <c r="L122" i="1"/>
  <c r="O122" i="1" s="1"/>
  <c r="L120" i="13"/>
  <c r="P11" i="6"/>
  <c r="M9" i="6"/>
  <c r="P9" i="6" s="1"/>
  <c r="M66" i="13"/>
  <c r="P66" i="13" s="1"/>
  <c r="N66" i="11"/>
  <c r="P66" i="11" s="1"/>
  <c r="O224" i="12"/>
  <c r="L292" i="8"/>
  <c r="O292" i="8" s="1"/>
  <c r="L53" i="10"/>
  <c r="O53" i="10" s="1"/>
  <c r="P273" i="4"/>
  <c r="P66" i="4"/>
  <c r="O26" i="4"/>
  <c r="O68" i="4"/>
  <c r="P142" i="18"/>
  <c r="N140" i="14"/>
  <c r="P140" i="14" s="1"/>
  <c r="N20" i="4"/>
  <c r="N18" i="4" s="1"/>
  <c r="M220" i="5"/>
  <c r="P220" i="5" s="1"/>
  <c r="P273" i="18"/>
  <c r="L22" i="12"/>
  <c r="O22" i="12" s="1"/>
  <c r="O32" i="18"/>
  <c r="P53" i="12"/>
  <c r="P329" i="10"/>
  <c r="O273" i="10"/>
  <c r="M310" i="5"/>
  <c r="P310" i="5" s="1"/>
  <c r="L292" i="3"/>
  <c r="L290" i="3" s="1"/>
  <c r="O290" i="3" s="1"/>
  <c r="L98" i="1"/>
  <c r="O98" i="1" s="1"/>
  <c r="M118" i="17"/>
  <c r="P118" i="17" s="1"/>
  <c r="L120" i="14"/>
  <c r="L118" i="14" s="1"/>
  <c r="O118" i="14" s="1"/>
  <c r="L22" i="6"/>
  <c r="O22" i="6" s="1"/>
  <c r="M140" i="3"/>
  <c r="P140" i="3" s="1"/>
  <c r="L638" i="17"/>
  <c r="L636" i="17" s="1"/>
  <c r="O636" i="17" s="1"/>
  <c r="L220" i="13"/>
  <c r="O220" i="13" s="1"/>
  <c r="L22" i="13"/>
  <c r="L12" i="13" s="1"/>
  <c r="P331" i="10"/>
  <c r="O34" i="10"/>
  <c r="O275" i="10"/>
  <c r="L22" i="9"/>
  <c r="L12" i="9" s="1"/>
  <c r="M9" i="9"/>
  <c r="L331" i="5"/>
  <c r="O331" i="5" s="1"/>
  <c r="L55" i="2"/>
  <c r="L53" i="2" s="1"/>
  <c r="O53" i="2" s="1"/>
  <c r="M140" i="11"/>
  <c r="P140" i="11" s="1"/>
  <c r="P43" i="3"/>
  <c r="O144" i="12"/>
  <c r="P15" i="5"/>
  <c r="M9" i="5"/>
  <c r="P9" i="5" s="1"/>
  <c r="L22" i="10"/>
  <c r="L20" i="10" s="1"/>
  <c r="L18" i="10" s="1"/>
  <c r="L22" i="15"/>
  <c r="O22" i="15" s="1"/>
  <c r="L292" i="17"/>
  <c r="O292" i="17" s="1"/>
  <c r="O34" i="13"/>
  <c r="O98" i="11"/>
  <c r="L96" i="6"/>
  <c r="O96" i="6" s="1"/>
  <c r="K350" i="1"/>
  <c r="O70" i="4"/>
  <c r="O31" i="2"/>
  <c r="K285" i="1"/>
  <c r="N140" i="2"/>
  <c r="P140" i="2" s="1"/>
  <c r="P329" i="17"/>
  <c r="O34" i="8"/>
  <c r="O66" i="4"/>
  <c r="M290" i="18"/>
  <c r="P290" i="18" s="1"/>
  <c r="M9" i="16"/>
  <c r="M310" i="11"/>
  <c r="P310" i="11" s="1"/>
  <c r="M290" i="7"/>
  <c r="P290" i="7" s="1"/>
  <c r="N28" i="7"/>
  <c r="M9" i="3"/>
  <c r="P9" i="3" s="1"/>
  <c r="L14" i="13"/>
  <c r="O14" i="13" s="1"/>
  <c r="L29" i="17"/>
  <c r="L28" i="17" s="1"/>
  <c r="N31" i="1"/>
  <c r="N29" i="1" s="1"/>
  <c r="P252" i="6"/>
  <c r="L290" i="16"/>
  <c r="O290" i="16" s="1"/>
  <c r="N118" i="14"/>
  <c r="P273" i="11"/>
  <c r="O333" i="17"/>
  <c r="L331" i="17"/>
  <c r="M220" i="13"/>
  <c r="P220" i="13" s="1"/>
  <c r="P222" i="13"/>
  <c r="L24" i="1"/>
  <c r="O24" i="1" s="1"/>
  <c r="M53" i="13"/>
  <c r="P53" i="13" s="1"/>
  <c r="L333" i="1"/>
  <c r="O333" i="1" s="1"/>
  <c r="P271" i="5"/>
  <c r="P222" i="4"/>
  <c r="P102" i="6"/>
  <c r="M96" i="6"/>
  <c r="M26" i="6"/>
  <c r="M16" i="6" s="1"/>
  <c r="P96" i="11"/>
  <c r="M94" i="11"/>
  <c r="P94" i="11" s="1"/>
  <c r="M271" i="2"/>
  <c r="P271" i="2" s="1"/>
  <c r="P273" i="2"/>
  <c r="P252" i="2"/>
  <c r="M250" i="2"/>
  <c r="P250" i="2" s="1"/>
  <c r="O252" i="17"/>
  <c r="L22" i="16"/>
  <c r="L20" i="16" s="1"/>
  <c r="P252" i="17"/>
  <c r="M140" i="15"/>
  <c r="P140" i="15" s="1"/>
  <c r="P331" i="13"/>
  <c r="N11" i="12"/>
  <c r="N9" i="12" s="1"/>
  <c r="N94" i="12"/>
  <c r="M329" i="11"/>
  <c r="P329" i="11" s="1"/>
  <c r="O34" i="11"/>
  <c r="M250" i="9"/>
  <c r="P250" i="9" s="1"/>
  <c r="N68" i="1"/>
  <c r="M53" i="2"/>
  <c r="P53" i="2" s="1"/>
  <c r="N41" i="2"/>
  <c r="O41" i="2" s="1"/>
  <c r="M271" i="4"/>
  <c r="P271" i="4" s="1"/>
  <c r="L220" i="3"/>
  <c r="O220" i="3" s="1"/>
  <c r="M41" i="17"/>
  <c r="M310" i="6"/>
  <c r="P310" i="6" s="1"/>
  <c r="K417" i="1"/>
  <c r="K560" i="1"/>
  <c r="K368" i="1"/>
  <c r="O26" i="18"/>
  <c r="O55" i="15"/>
  <c r="L53" i="15"/>
  <c r="N20" i="13"/>
  <c r="N18" i="13" s="1"/>
  <c r="M250" i="8"/>
  <c r="P250" i="8" s="1"/>
  <c r="P252" i="8"/>
  <c r="M140" i="5"/>
  <c r="P140" i="5" s="1"/>
  <c r="P142" i="5"/>
  <c r="N66" i="18"/>
  <c r="P66" i="18" s="1"/>
  <c r="M310" i="17"/>
  <c r="P310" i="17" s="1"/>
  <c r="M220" i="18"/>
  <c r="P220" i="18" s="1"/>
  <c r="N11" i="16"/>
  <c r="N9" i="16" s="1"/>
  <c r="L14" i="15"/>
  <c r="O14" i="15" s="1"/>
  <c r="O43" i="12"/>
  <c r="N37" i="9"/>
  <c r="L13" i="9"/>
  <c r="O13" i="9" s="1"/>
  <c r="L140" i="7"/>
  <c r="P250" i="11"/>
  <c r="N329" i="13"/>
  <c r="L41" i="11"/>
  <c r="O41" i="11" s="1"/>
  <c r="L250" i="6"/>
  <c r="O250" i="6" s="1"/>
  <c r="O16" i="18"/>
  <c r="L273" i="17"/>
  <c r="O275" i="17"/>
  <c r="M310" i="15"/>
  <c r="P310" i="15" s="1"/>
  <c r="L94" i="16"/>
  <c r="O94" i="16" s="1"/>
  <c r="O96" i="16"/>
  <c r="M310" i="14"/>
  <c r="P310" i="14" s="1"/>
  <c r="P312" i="14"/>
  <c r="L55" i="14"/>
  <c r="O57" i="14"/>
  <c r="M290" i="8"/>
  <c r="P290" i="8" s="1"/>
  <c r="P292" i="8"/>
  <c r="O294" i="10"/>
  <c r="L292" i="10"/>
  <c r="M53" i="9"/>
  <c r="P53" i="9" s="1"/>
  <c r="P55" i="9"/>
  <c r="M329" i="4"/>
  <c r="P329" i="4" s="1"/>
  <c r="P331" i="4"/>
  <c r="M290" i="4"/>
  <c r="P290" i="4" s="1"/>
  <c r="M290" i="16"/>
  <c r="P290" i="16" s="1"/>
  <c r="N329" i="12"/>
  <c r="O329" i="12" s="1"/>
  <c r="L271" i="8"/>
  <c r="O271" i="8" s="1"/>
  <c r="P94" i="8"/>
  <c r="N96" i="1"/>
  <c r="O94" i="8"/>
  <c r="O222" i="18"/>
  <c r="L220" i="18"/>
  <c r="O220" i="18" s="1"/>
  <c r="N290" i="15"/>
  <c r="N290" i="1" s="1"/>
  <c r="P120" i="16"/>
  <c r="M118" i="16"/>
  <c r="P118" i="16" s="1"/>
  <c r="P252" i="12"/>
  <c r="M250" i="12"/>
  <c r="P250" i="12" s="1"/>
  <c r="P120" i="10"/>
  <c r="M118" i="10"/>
  <c r="P118" i="10" s="1"/>
  <c r="L118" i="6"/>
  <c r="O118" i="6" s="1"/>
  <c r="O120" i="6"/>
  <c r="P96" i="9"/>
  <c r="M94" i="9"/>
  <c r="P94" i="9" s="1"/>
  <c r="M118" i="3"/>
  <c r="P118" i="3" s="1"/>
  <c r="M310" i="8"/>
  <c r="P310" i="8" s="1"/>
  <c r="P312" i="8"/>
  <c r="L224" i="1"/>
  <c r="O224" i="1" s="1"/>
  <c r="N222" i="1"/>
  <c r="M250" i="15"/>
  <c r="P250" i="15" s="1"/>
  <c r="P252" i="15"/>
  <c r="M26" i="16"/>
  <c r="M20" i="16" s="1"/>
  <c r="P74" i="16"/>
  <c r="M68" i="16"/>
  <c r="M220" i="14"/>
  <c r="P220" i="14" s="1"/>
  <c r="P222" i="14"/>
  <c r="M290" i="13"/>
  <c r="P290" i="13" s="1"/>
  <c r="P292" i="13"/>
  <c r="P222" i="12"/>
  <c r="M220" i="12"/>
  <c r="P220" i="12" s="1"/>
  <c r="P68" i="9"/>
  <c r="M66" i="9"/>
  <c r="P66" i="9" s="1"/>
  <c r="O224" i="6"/>
  <c r="L222" i="6"/>
  <c r="N53" i="4"/>
  <c r="P53" i="4" s="1"/>
  <c r="P55" i="4"/>
  <c r="L94" i="4"/>
  <c r="O94" i="4" s="1"/>
  <c r="O96" i="4"/>
  <c r="L66" i="10"/>
  <c r="O66" i="10" s="1"/>
  <c r="L57" i="1"/>
  <c r="L55" i="1" s="1"/>
  <c r="P273" i="17"/>
  <c r="M271" i="17"/>
  <c r="P271" i="17" s="1"/>
  <c r="P312" i="12"/>
  <c r="M310" i="12"/>
  <c r="P310" i="12" s="1"/>
  <c r="O120" i="8"/>
  <c r="L118" i="8"/>
  <c r="O118" i="8" s="1"/>
  <c r="L294" i="1"/>
  <c r="O294" i="1" s="1"/>
  <c r="L275" i="1"/>
  <c r="O275" i="1" s="1"/>
  <c r="P142" i="8"/>
  <c r="M140" i="8"/>
  <c r="P140" i="8" s="1"/>
  <c r="O640" i="3"/>
  <c r="L638" i="3"/>
  <c r="N252" i="1"/>
  <c r="K419" i="1"/>
  <c r="M118" i="18"/>
  <c r="P118" i="18" s="1"/>
  <c r="P120" i="18"/>
  <c r="O331" i="15"/>
  <c r="L329" i="15"/>
  <c r="O329" i="15" s="1"/>
  <c r="L96" i="14"/>
  <c r="O98" i="14"/>
  <c r="L142" i="13"/>
  <c r="O144" i="13"/>
  <c r="M290" i="15"/>
  <c r="P290" i="15" s="1"/>
  <c r="P292" i="15"/>
  <c r="N29" i="9"/>
  <c r="N28" i="9" s="1"/>
  <c r="N11" i="9"/>
  <c r="N9" i="9" s="1"/>
  <c r="N11" i="4"/>
  <c r="N9" i="4" s="1"/>
  <c r="N29" i="4"/>
  <c r="N28" i="4" s="1"/>
  <c r="O275" i="7"/>
  <c r="L273" i="7"/>
  <c r="L271" i="7" s="1"/>
  <c r="O271" i="7" s="1"/>
  <c r="P102" i="5"/>
  <c r="M96" i="5"/>
  <c r="O11" i="6"/>
  <c r="L9" i="6"/>
  <c r="P43" i="8"/>
  <c r="M41" i="8"/>
  <c r="L250" i="17"/>
  <c r="O250" i="17" s="1"/>
  <c r="O24" i="12"/>
  <c r="L14" i="12"/>
  <c r="O14" i="12" s="1"/>
  <c r="O314" i="14"/>
  <c r="L312" i="14"/>
  <c r="O31" i="14"/>
  <c r="L11" i="14"/>
  <c r="L29" i="14"/>
  <c r="M26" i="7"/>
  <c r="P49" i="7"/>
  <c r="L13" i="10"/>
  <c r="O13" i="10" s="1"/>
  <c r="O23" i="10"/>
  <c r="L11" i="18"/>
  <c r="O31" i="18"/>
  <c r="L29" i="18"/>
  <c r="O68" i="11"/>
  <c r="L66" i="11"/>
  <c r="O45" i="18"/>
  <c r="L43" i="18"/>
  <c r="L22" i="18"/>
  <c r="N12" i="17"/>
  <c r="N10" i="17" s="1"/>
  <c r="N20" i="17"/>
  <c r="N18" i="17" s="1"/>
  <c r="M9" i="15"/>
  <c r="N66" i="15"/>
  <c r="N12" i="15"/>
  <c r="N10" i="15" s="1"/>
  <c r="N20" i="15"/>
  <c r="N18" i="15" s="1"/>
  <c r="O11" i="12"/>
  <c r="L9" i="12"/>
  <c r="P68" i="12"/>
  <c r="M66" i="12"/>
  <c r="M329" i="14"/>
  <c r="P329" i="14" s="1"/>
  <c r="N41" i="13"/>
  <c r="O120" i="12"/>
  <c r="L118" i="12"/>
  <c r="O41" i="12"/>
  <c r="L140" i="14"/>
  <c r="O142" i="14"/>
  <c r="P22" i="12"/>
  <c r="M12" i="12"/>
  <c r="M20" i="12"/>
  <c r="M9" i="12"/>
  <c r="P11" i="12"/>
  <c r="O32" i="13"/>
  <c r="L30" i="13"/>
  <c r="O30" i="13" s="1"/>
  <c r="L250" i="13"/>
  <c r="O250" i="13" s="1"/>
  <c r="P41" i="12"/>
  <c r="O24" i="10"/>
  <c r="L14" i="10"/>
  <c r="O14" i="10" s="1"/>
  <c r="M220" i="7"/>
  <c r="P220" i="7" s="1"/>
  <c r="M43" i="7"/>
  <c r="M41" i="11"/>
  <c r="O640" i="12"/>
  <c r="O19" i="12"/>
  <c r="O120" i="7"/>
  <c r="L118" i="7"/>
  <c r="O118" i="7" s="1"/>
  <c r="M9" i="10"/>
  <c r="P11" i="10"/>
  <c r="M9" i="13"/>
  <c r="P11" i="13"/>
  <c r="N250" i="7"/>
  <c r="L30" i="5"/>
  <c r="O30" i="5" s="1"/>
  <c r="O32" i="5"/>
  <c r="O57" i="5"/>
  <c r="L55" i="5"/>
  <c r="O333" i="7"/>
  <c r="L331" i="7"/>
  <c r="L271" i="4"/>
  <c r="O271" i="4" s="1"/>
  <c r="P26" i="11"/>
  <c r="M16" i="11"/>
  <c r="P16" i="11" s="1"/>
  <c r="L14" i="8"/>
  <c r="O14" i="8" s="1"/>
  <c r="O34" i="2"/>
  <c r="L14" i="2"/>
  <c r="O14" i="2" s="1"/>
  <c r="O337" i="1"/>
  <c r="M337" i="1"/>
  <c r="P337" i="1" s="1"/>
  <c r="M22" i="1"/>
  <c r="P45" i="1"/>
  <c r="L14" i="4"/>
  <c r="O14" i="4" s="1"/>
  <c r="O24" i="4"/>
  <c r="L13" i="3"/>
  <c r="O13" i="3" s="1"/>
  <c r="O23" i="3"/>
  <c r="P43" i="2"/>
  <c r="M41" i="2"/>
  <c r="K429" i="1"/>
  <c r="O385" i="1"/>
  <c r="P142" i="2"/>
  <c r="M142" i="1"/>
  <c r="O32" i="10"/>
  <c r="L30" i="10"/>
  <c r="O30" i="10" s="1"/>
  <c r="O222" i="8"/>
  <c r="L220" i="8"/>
  <c r="O220" i="8" s="1"/>
  <c r="O26" i="7"/>
  <c r="L16" i="7"/>
  <c r="O16" i="7" s="1"/>
  <c r="L14" i="5"/>
  <c r="O14" i="5" s="1"/>
  <c r="O24" i="5"/>
  <c r="O314" i="3"/>
  <c r="L312" i="3"/>
  <c r="L314" i="1"/>
  <c r="O314" i="1" s="1"/>
  <c r="O535" i="1"/>
  <c r="N34" i="1"/>
  <c r="N14" i="1" s="1"/>
  <c r="O57" i="17"/>
  <c r="L22" i="17"/>
  <c r="L55" i="17"/>
  <c r="O582" i="1"/>
  <c r="P11" i="1"/>
  <c r="M9" i="1"/>
  <c r="N32" i="1"/>
  <c r="N30" i="1" s="1"/>
  <c r="L26" i="1"/>
  <c r="M28" i="17"/>
  <c r="P28" i="17" s="1"/>
  <c r="P30" i="17"/>
  <c r="N11" i="10"/>
  <c r="N9" i="10" s="1"/>
  <c r="N29" i="10"/>
  <c r="N28" i="10" s="1"/>
  <c r="L29" i="10"/>
  <c r="O31" i="10"/>
  <c r="O638" i="12"/>
  <c r="L636" i="12"/>
  <c r="O636" i="12" s="1"/>
  <c r="M53" i="5"/>
  <c r="P53" i="5" s="1"/>
  <c r="P55" i="5"/>
  <c r="O32" i="8"/>
  <c r="L30" i="8"/>
  <c r="O30" i="8" s="1"/>
  <c r="P26" i="12"/>
  <c r="M16" i="12"/>
  <c r="P16" i="12" s="1"/>
  <c r="O26" i="11"/>
  <c r="L16" i="11"/>
  <c r="O16" i="11" s="1"/>
  <c r="O19" i="17"/>
  <c r="L9" i="7"/>
  <c r="O11" i="7"/>
  <c r="L29" i="8"/>
  <c r="O31" i="8"/>
  <c r="O45" i="5"/>
  <c r="L22" i="5"/>
  <c r="L43" i="5"/>
  <c r="O34" i="18"/>
  <c r="P310" i="18"/>
  <c r="M96" i="17"/>
  <c r="P102" i="17"/>
  <c r="P22" i="18"/>
  <c r="M12" i="18"/>
  <c r="M20" i="18"/>
  <c r="O24" i="18"/>
  <c r="L14" i="18"/>
  <c r="O14" i="18" s="1"/>
  <c r="O312" i="17"/>
  <c r="L310" i="17"/>
  <c r="O310" i="17" s="1"/>
  <c r="P55" i="17"/>
  <c r="M53" i="17"/>
  <c r="P53" i="17" s="1"/>
  <c r="M26" i="17"/>
  <c r="M20" i="17" s="1"/>
  <c r="O23" i="16"/>
  <c r="L13" i="16"/>
  <c r="O13" i="16" s="1"/>
  <c r="M250" i="16"/>
  <c r="P250" i="16" s="1"/>
  <c r="O43" i="16"/>
  <c r="L41" i="16"/>
  <c r="N29" i="15"/>
  <c r="N28" i="15" s="1"/>
  <c r="N11" i="15"/>
  <c r="N9" i="15" s="1"/>
  <c r="O640" i="15"/>
  <c r="L638" i="15"/>
  <c r="M28" i="15"/>
  <c r="P28" i="15" s="1"/>
  <c r="P29" i="15"/>
  <c r="M28" i="14"/>
  <c r="P28" i="14" s="1"/>
  <c r="P29" i="14"/>
  <c r="O26" i="16"/>
  <c r="L16" i="16"/>
  <c r="O16" i="16" s="1"/>
  <c r="P140" i="13"/>
  <c r="O23" i="14"/>
  <c r="L13" i="14"/>
  <c r="O13" i="14" s="1"/>
  <c r="O32" i="15"/>
  <c r="L30" i="15"/>
  <c r="O30" i="15" s="1"/>
  <c r="O31" i="13"/>
  <c r="L29" i="13"/>
  <c r="L11" i="13"/>
  <c r="O55" i="12"/>
  <c r="L53" i="12"/>
  <c r="O53" i="12" s="1"/>
  <c r="P96" i="13"/>
  <c r="M94" i="13"/>
  <c r="P94" i="13" s="1"/>
  <c r="O32" i="12"/>
  <c r="L30" i="12"/>
  <c r="O30" i="12" s="1"/>
  <c r="O34" i="12"/>
  <c r="L271" i="16"/>
  <c r="O271" i="16" s="1"/>
  <c r="O273" i="16"/>
  <c r="M9" i="14"/>
  <c r="P331" i="9"/>
  <c r="M329" i="9"/>
  <c r="P329" i="9" s="1"/>
  <c r="L30" i="9"/>
  <c r="O30" i="9" s="1"/>
  <c r="O32" i="9"/>
  <c r="O26" i="12"/>
  <c r="L16" i="12"/>
  <c r="O16" i="12" s="1"/>
  <c r="O34" i="9"/>
  <c r="O23" i="15"/>
  <c r="L13" i="15"/>
  <c r="O13" i="15" s="1"/>
  <c r="P19" i="11"/>
  <c r="O331" i="10"/>
  <c r="L329" i="10"/>
  <c r="O329" i="10" s="1"/>
  <c r="P26" i="10"/>
  <c r="M16" i="10"/>
  <c r="P16" i="10" s="1"/>
  <c r="P74" i="7"/>
  <c r="M74" i="1"/>
  <c r="P74" i="1" s="1"/>
  <c r="O19" i="8"/>
  <c r="O312" i="7"/>
  <c r="L310" i="7"/>
  <c r="O310" i="7" s="1"/>
  <c r="M28" i="13"/>
  <c r="P28" i="13" s="1"/>
  <c r="P29" i="13"/>
  <c r="P22" i="10"/>
  <c r="M12" i="10"/>
  <c r="M20" i="10"/>
  <c r="O43" i="8"/>
  <c r="P222" i="9"/>
  <c r="M220" i="9"/>
  <c r="O24" i="7"/>
  <c r="L14" i="7"/>
  <c r="O14" i="7" s="1"/>
  <c r="P26" i="18"/>
  <c r="M16" i="18"/>
  <c r="P16" i="18" s="1"/>
  <c r="O26" i="17"/>
  <c r="L16" i="17"/>
  <c r="O16" i="17" s="1"/>
  <c r="O640" i="10"/>
  <c r="L638" i="10"/>
  <c r="P9" i="7"/>
  <c r="O640" i="4"/>
  <c r="L638" i="4"/>
  <c r="N14" i="6"/>
  <c r="N16" i="6"/>
  <c r="L29" i="4"/>
  <c r="O31" i="4"/>
  <c r="O26" i="8"/>
  <c r="L16" i="8"/>
  <c r="O16" i="8" s="1"/>
  <c r="O26" i="2"/>
  <c r="L16" i="2"/>
  <c r="O16" i="2" s="1"/>
  <c r="O383" i="1"/>
  <c r="L32" i="1"/>
  <c r="N12" i="5"/>
  <c r="N10" i="5" s="1"/>
  <c r="N20" i="5"/>
  <c r="N18" i="5" s="1"/>
  <c r="O24" i="3"/>
  <c r="L14" i="3"/>
  <c r="O14" i="3" s="1"/>
  <c r="K398" i="1"/>
  <c r="O24" i="17"/>
  <c r="L14" i="17"/>
  <c r="O14" i="17" s="1"/>
  <c r="O19" i="6"/>
  <c r="O292" i="4"/>
  <c r="L290" i="4"/>
  <c r="O290" i="4" s="1"/>
  <c r="P19" i="1"/>
  <c r="L22" i="3"/>
  <c r="L640" i="1"/>
  <c r="P250" i="17"/>
  <c r="L41" i="14"/>
  <c r="O43" i="14"/>
  <c r="N11" i="13"/>
  <c r="N9" i="13" s="1"/>
  <c r="O640" i="7"/>
  <c r="L638" i="7"/>
  <c r="P19" i="10"/>
  <c r="L94" i="11"/>
  <c r="O94" i="11" s="1"/>
  <c r="O96" i="11"/>
  <c r="O23" i="8"/>
  <c r="L13" i="8"/>
  <c r="O13" i="8" s="1"/>
  <c r="P41" i="3"/>
  <c r="P273" i="3"/>
  <c r="M273" i="1"/>
  <c r="M271" i="3"/>
  <c r="P22" i="4"/>
  <c r="M12" i="4"/>
  <c r="M66" i="2"/>
  <c r="P68" i="2"/>
  <c r="N26" i="1"/>
  <c r="N16" i="1" s="1"/>
  <c r="N43" i="1"/>
  <c r="N41" i="1" s="1"/>
  <c r="O23" i="18"/>
  <c r="L13" i="18"/>
  <c r="O13" i="18" s="1"/>
  <c r="L118" i="18"/>
  <c r="O118" i="18" s="1"/>
  <c r="O120" i="18"/>
  <c r="O312" i="18"/>
  <c r="L310" i="18"/>
  <c r="O310" i="18" s="1"/>
  <c r="O23" i="17"/>
  <c r="L13" i="17"/>
  <c r="O13" i="17" s="1"/>
  <c r="M28" i="16"/>
  <c r="P28" i="16" s="1"/>
  <c r="P29" i="16"/>
  <c r="P22" i="17"/>
  <c r="M12" i="17"/>
  <c r="O640" i="16"/>
  <c r="L638" i="16"/>
  <c r="O70" i="16"/>
  <c r="L68" i="16"/>
  <c r="N20" i="18"/>
  <c r="N18" i="18" s="1"/>
  <c r="N12" i="18"/>
  <c r="N10" i="18" s="1"/>
  <c r="P19" i="17"/>
  <c r="P26" i="15"/>
  <c r="M16" i="15"/>
  <c r="P16" i="15" s="1"/>
  <c r="O32" i="16"/>
  <c r="L30" i="16"/>
  <c r="O30" i="16" s="1"/>
  <c r="N20" i="14"/>
  <c r="N18" i="14" s="1"/>
  <c r="N12" i="14"/>
  <c r="N10" i="14" s="1"/>
  <c r="N8" i="14" s="1"/>
  <c r="O23" i="12"/>
  <c r="L13" i="12"/>
  <c r="O13" i="12" s="1"/>
  <c r="N28" i="12"/>
  <c r="P96" i="12"/>
  <c r="P26" i="9"/>
  <c r="M16" i="9"/>
  <c r="P16" i="9" s="1"/>
  <c r="P41" i="14"/>
  <c r="M96" i="7"/>
  <c r="P102" i="7"/>
  <c r="M102" i="1"/>
  <c r="P102" i="1" s="1"/>
  <c r="O144" i="15"/>
  <c r="L142" i="15"/>
  <c r="O31" i="12"/>
  <c r="L29" i="12"/>
  <c r="M9" i="11"/>
  <c r="P11" i="11"/>
  <c r="N271" i="11"/>
  <c r="M66" i="10"/>
  <c r="P66" i="10" s="1"/>
  <c r="P68" i="10"/>
  <c r="P19" i="8"/>
  <c r="P49" i="8"/>
  <c r="M26" i="8"/>
  <c r="L11" i="8"/>
  <c r="N12" i="10"/>
  <c r="N10" i="10" s="1"/>
  <c r="N20" i="10"/>
  <c r="N18" i="10" s="1"/>
  <c r="P43" i="10"/>
  <c r="M41" i="10"/>
  <c r="L13" i="7"/>
  <c r="O13" i="7" s="1"/>
  <c r="M12" i="9"/>
  <c r="M20" i="9"/>
  <c r="P22" i="9"/>
  <c r="L250" i="7"/>
  <c r="O250" i="7" s="1"/>
  <c r="L638" i="6"/>
  <c r="O640" i="6"/>
  <c r="L14" i="6"/>
  <c r="O24" i="6"/>
  <c r="O31" i="5"/>
  <c r="L29" i="5"/>
  <c r="O32" i="4"/>
  <c r="L30" i="4"/>
  <c r="O30" i="4" s="1"/>
  <c r="O29" i="3"/>
  <c r="O640" i="18"/>
  <c r="L638" i="18"/>
  <c r="L22" i="7"/>
  <c r="N28" i="5"/>
  <c r="M94" i="4"/>
  <c r="P94" i="4" s="1"/>
  <c r="P96" i="4"/>
  <c r="P22" i="3"/>
  <c r="M12" i="3"/>
  <c r="P120" i="2"/>
  <c r="M120" i="1"/>
  <c r="M118" i="2"/>
  <c r="O21" i="1"/>
  <c r="L19" i="1"/>
  <c r="O34" i="4"/>
  <c r="O55" i="6"/>
  <c r="L53" i="6"/>
  <c r="O53" i="6" s="1"/>
  <c r="O26" i="5"/>
  <c r="L16" i="5"/>
  <c r="O16" i="5" s="1"/>
  <c r="L11" i="4"/>
  <c r="M94" i="3"/>
  <c r="P96" i="3"/>
  <c r="O640" i="2"/>
  <c r="L638" i="2"/>
  <c r="K551" i="1"/>
  <c r="K380" i="1"/>
  <c r="L45" i="1"/>
  <c r="L34" i="1"/>
  <c r="M20" i="15"/>
  <c r="M12" i="15"/>
  <c r="P22" i="15"/>
  <c r="O32" i="14"/>
  <c r="L30" i="14"/>
  <c r="O30" i="14" s="1"/>
  <c r="M12" i="14"/>
  <c r="P22" i="14"/>
  <c r="P19" i="12"/>
  <c r="N12" i="11"/>
  <c r="N10" i="11" s="1"/>
  <c r="N20" i="11"/>
  <c r="N18" i="11" s="1"/>
  <c r="L11" i="10"/>
  <c r="N20" i="9"/>
  <c r="N18" i="9" s="1"/>
  <c r="N12" i="9"/>
  <c r="N10" i="9" s="1"/>
  <c r="O23" i="5"/>
  <c r="L13" i="5"/>
  <c r="O13" i="5" s="1"/>
  <c r="K431" i="1"/>
  <c r="N11" i="2"/>
  <c r="N9" i="2" s="1"/>
  <c r="N29" i="2"/>
  <c r="N28" i="2" s="1"/>
  <c r="N20" i="3"/>
  <c r="N18" i="3" s="1"/>
  <c r="N12" i="3"/>
  <c r="N10" i="3" s="1"/>
  <c r="O49" i="1"/>
  <c r="L140" i="18"/>
  <c r="O140" i="18" s="1"/>
  <c r="O70" i="17"/>
  <c r="L68" i="17"/>
  <c r="P9" i="16"/>
  <c r="P19" i="16"/>
  <c r="P55" i="16"/>
  <c r="M53" i="16"/>
  <c r="P53" i="16" s="1"/>
  <c r="O252" i="15"/>
  <c r="L250" i="15"/>
  <c r="O250" i="15" s="1"/>
  <c r="L16" i="15"/>
  <c r="O16" i="15" s="1"/>
  <c r="O26" i="15"/>
  <c r="M9" i="17"/>
  <c r="P15" i="17"/>
  <c r="P331" i="15"/>
  <c r="M329" i="15"/>
  <c r="P329" i="15" s="1"/>
  <c r="O273" i="15"/>
  <c r="L271" i="15"/>
  <c r="O271" i="15" s="1"/>
  <c r="L16" i="13"/>
  <c r="O16" i="13" s="1"/>
  <c r="O26" i="13"/>
  <c r="L290" i="15"/>
  <c r="O290" i="15" s="1"/>
  <c r="O292" i="15"/>
  <c r="O34" i="14"/>
  <c r="M12" i="13"/>
  <c r="M20" i="13"/>
  <c r="P22" i="13"/>
  <c r="O254" i="14"/>
  <c r="L252" i="14"/>
  <c r="L22" i="14"/>
  <c r="L220" i="12"/>
  <c r="O220" i="12" s="1"/>
  <c r="O70" i="13"/>
  <c r="L68" i="13"/>
  <c r="O32" i="11"/>
  <c r="L30" i="11"/>
  <c r="O30" i="11" s="1"/>
  <c r="O640" i="9"/>
  <c r="L638" i="9"/>
  <c r="O640" i="14"/>
  <c r="L638" i="14"/>
  <c r="L290" i="12"/>
  <c r="O290" i="12" s="1"/>
  <c r="O292" i="12"/>
  <c r="O640" i="11"/>
  <c r="L638" i="11"/>
  <c r="L29" i="11"/>
  <c r="O31" i="11"/>
  <c r="P22" i="11"/>
  <c r="M12" i="11"/>
  <c r="M20" i="11"/>
  <c r="M18" i="11" s="1"/>
  <c r="O57" i="11"/>
  <c r="L22" i="11"/>
  <c r="L55" i="11"/>
  <c r="P29" i="9"/>
  <c r="M28" i="9"/>
  <c r="P28" i="9" s="1"/>
  <c r="M331" i="7"/>
  <c r="P337" i="7"/>
  <c r="M9" i="8"/>
  <c r="P11" i="8"/>
  <c r="P19" i="5"/>
  <c r="O19" i="11"/>
  <c r="N12" i="7"/>
  <c r="N10" i="7" s="1"/>
  <c r="N20" i="7"/>
  <c r="N18" i="7" s="1"/>
  <c r="M94" i="12"/>
  <c r="O55" i="7"/>
  <c r="L53" i="7"/>
  <c r="O53" i="7" s="1"/>
  <c r="P43" i="6"/>
  <c r="M41" i="6"/>
  <c r="M329" i="18"/>
  <c r="P329" i="18" s="1"/>
  <c r="P331" i="18"/>
  <c r="P22" i="6"/>
  <c r="M12" i="6"/>
  <c r="P43" i="5"/>
  <c r="M41" i="5"/>
  <c r="P11" i="4"/>
  <c r="M9" i="4"/>
  <c r="P275" i="1"/>
  <c r="P9" i="9"/>
  <c r="O640" i="5"/>
  <c r="L638" i="5"/>
  <c r="P55" i="3"/>
  <c r="M53" i="3"/>
  <c r="P53" i="3" s="1"/>
  <c r="O32" i="2"/>
  <c r="L30" i="2"/>
  <c r="L33" i="1"/>
  <c r="O33" i="1" s="1"/>
  <c r="O353" i="1"/>
  <c r="M220" i="3"/>
  <c r="P222" i="3"/>
  <c r="M222" i="1"/>
  <c r="P331" i="2"/>
  <c r="O70" i="2"/>
  <c r="L68" i="2"/>
  <c r="L70" i="1"/>
  <c r="O70" i="1" s="1"/>
  <c r="M18" i="2"/>
  <c r="P19" i="2"/>
  <c r="O32" i="3"/>
  <c r="L30" i="3"/>
  <c r="O30" i="3" s="1"/>
  <c r="O57" i="4"/>
  <c r="L22" i="4"/>
  <c r="L55" i="4"/>
  <c r="P312" i="4"/>
  <c r="M310" i="4"/>
  <c r="M312" i="1"/>
  <c r="M290" i="3"/>
  <c r="P290" i="3" s="1"/>
  <c r="P292" i="3"/>
  <c r="M292" i="1"/>
  <c r="O26" i="3"/>
  <c r="L16" i="3"/>
  <c r="O16" i="3" s="1"/>
  <c r="M9" i="2"/>
  <c r="P11" i="2"/>
  <c r="N12" i="2"/>
  <c r="N10" i="2" s="1"/>
  <c r="L22" i="2"/>
  <c r="M28" i="1"/>
  <c r="P28" i="1" s="1"/>
  <c r="O120" i="17"/>
  <c r="L118" i="17"/>
  <c r="O118" i="17" s="1"/>
  <c r="O120" i="16"/>
  <c r="L118" i="16"/>
  <c r="O118" i="16" s="1"/>
  <c r="N12" i="12"/>
  <c r="N10" i="12" s="1"/>
  <c r="N20" i="12"/>
  <c r="N18" i="12" s="1"/>
  <c r="O26" i="10"/>
  <c r="L16" i="10"/>
  <c r="O16" i="10" s="1"/>
  <c r="L30" i="6"/>
  <c r="O30" i="6" s="1"/>
  <c r="O32" i="6"/>
  <c r="O11" i="5"/>
  <c r="L9" i="5"/>
  <c r="O23" i="6"/>
  <c r="L13" i="6"/>
  <c r="O13" i="6" s="1"/>
  <c r="L30" i="7"/>
  <c r="O30" i="7" s="1"/>
  <c r="O32" i="7"/>
  <c r="P329" i="2"/>
  <c r="M329" i="5"/>
  <c r="P329" i="5" s="1"/>
  <c r="P331" i="5"/>
  <c r="P11" i="18"/>
  <c r="M9" i="18"/>
  <c r="N12" i="16"/>
  <c r="N10" i="16" s="1"/>
  <c r="N20" i="16"/>
  <c r="N18" i="16" s="1"/>
  <c r="P29" i="18"/>
  <c r="M28" i="18"/>
  <c r="P28" i="18" s="1"/>
  <c r="O19" i="16"/>
  <c r="M12" i="16"/>
  <c r="P22" i="16"/>
  <c r="O333" i="16"/>
  <c r="L331" i="16"/>
  <c r="O68" i="15"/>
  <c r="L16" i="14"/>
  <c r="O16" i="14" s="1"/>
  <c r="O26" i="14"/>
  <c r="P96" i="14"/>
  <c r="M94" i="14"/>
  <c r="P94" i="14" s="1"/>
  <c r="L13" i="13"/>
  <c r="O13" i="13" s="1"/>
  <c r="O23" i="13"/>
  <c r="O31" i="16"/>
  <c r="L29" i="16"/>
  <c r="L11" i="16"/>
  <c r="L271" i="13"/>
  <c r="O271" i="13" s="1"/>
  <c r="O331" i="14"/>
  <c r="L329" i="14"/>
  <c r="O329" i="14" s="1"/>
  <c r="O252" i="12"/>
  <c r="L250" i="12"/>
  <c r="O250" i="12" s="1"/>
  <c r="O24" i="11"/>
  <c r="L14" i="11"/>
  <c r="O14" i="11" s="1"/>
  <c r="O26" i="9"/>
  <c r="L16" i="9"/>
  <c r="O16" i="9" s="1"/>
  <c r="N11" i="11"/>
  <c r="N9" i="11" s="1"/>
  <c r="N29" i="11"/>
  <c r="N28" i="11" s="1"/>
  <c r="O23" i="11"/>
  <c r="L13" i="11"/>
  <c r="O13" i="11" s="1"/>
  <c r="O31" i="9"/>
  <c r="L11" i="9"/>
  <c r="L29" i="9"/>
  <c r="L250" i="11"/>
  <c r="O250" i="11" s="1"/>
  <c r="O144" i="11"/>
  <c r="L142" i="11"/>
  <c r="L144" i="1"/>
  <c r="O144" i="1" s="1"/>
  <c r="P55" i="10"/>
  <c r="M53" i="10"/>
  <c r="P53" i="10" s="1"/>
  <c r="P273" i="8"/>
  <c r="M271" i="8"/>
  <c r="P271" i="8" s="1"/>
  <c r="O41" i="8"/>
  <c r="L11" i="11"/>
  <c r="O24" i="9"/>
  <c r="L14" i="9"/>
  <c r="O14" i="9" s="1"/>
  <c r="O24" i="14"/>
  <c r="L14" i="14"/>
  <c r="O14" i="14" s="1"/>
  <c r="O19" i="10"/>
  <c r="O57" i="8"/>
  <c r="L22" i="8"/>
  <c r="L55" i="8"/>
  <c r="M68" i="7"/>
  <c r="O19" i="5"/>
  <c r="P43" i="12"/>
  <c r="L29" i="6"/>
  <c r="O31" i="6"/>
  <c r="L14" i="16"/>
  <c r="O14" i="16" s="1"/>
  <c r="P273" i="7"/>
  <c r="O19" i="7"/>
  <c r="O273" i="5"/>
  <c r="L271" i="5"/>
  <c r="O271" i="5" s="1"/>
  <c r="P252" i="4"/>
  <c r="M252" i="1"/>
  <c r="K650" i="1"/>
  <c r="O351" i="1"/>
  <c r="L31" i="1"/>
  <c r="L11" i="1" s="1"/>
  <c r="N12" i="8"/>
  <c r="N10" i="8" s="1"/>
  <c r="N8" i="8" s="1"/>
  <c r="N20" i="8"/>
  <c r="N18" i="8" s="1"/>
  <c r="O26" i="6"/>
  <c r="L16" i="6"/>
  <c r="O23" i="2"/>
  <c r="L13" i="2"/>
  <c r="O13" i="2" s="1"/>
  <c r="L254" i="1"/>
  <c r="O254" i="1" s="1"/>
  <c r="L23" i="1"/>
  <c r="O31" i="7"/>
  <c r="L29" i="7"/>
  <c r="O23" i="4"/>
  <c r="L13" i="4"/>
  <c r="O13" i="4" s="1"/>
  <c r="M250" i="7"/>
  <c r="P26" i="5"/>
  <c r="M16" i="5"/>
  <c r="P16" i="5" s="1"/>
  <c r="N273" i="1"/>
  <c r="P49" i="4"/>
  <c r="M26" i="4"/>
  <c r="M20" i="4" s="1"/>
  <c r="M49" i="1"/>
  <c r="M43" i="4"/>
  <c r="N331" i="1"/>
  <c r="N12" i="4"/>
  <c r="N10" i="4" s="1"/>
  <c r="O120" i="15" l="1"/>
  <c r="L94" i="2"/>
  <c r="O43" i="9"/>
  <c r="L271" i="14"/>
  <c r="O271" i="14" s="1"/>
  <c r="L220" i="16"/>
  <c r="O220" i="16" s="1"/>
  <c r="O68" i="14"/>
  <c r="L94" i="5"/>
  <c r="O94" i="5" s="1"/>
  <c r="O68" i="5"/>
  <c r="N10" i="6"/>
  <c r="N8" i="6" s="1"/>
  <c r="L9" i="17"/>
  <c r="L66" i="9"/>
  <c r="O66" i="9" s="1"/>
  <c r="N310" i="1"/>
  <c r="P55" i="1"/>
  <c r="L310" i="10"/>
  <c r="O310" i="10" s="1"/>
  <c r="L329" i="9"/>
  <c r="O329" i="9" s="1"/>
  <c r="O43" i="3"/>
  <c r="O273" i="3"/>
  <c r="L290" i="9"/>
  <c r="O290" i="9" s="1"/>
  <c r="L220" i="15"/>
  <c r="O220" i="15" s="1"/>
  <c r="L290" i="6"/>
  <c r="O290" i="6" s="1"/>
  <c r="O331" i="8"/>
  <c r="O120" i="2"/>
  <c r="O11" i="2"/>
  <c r="L290" i="18"/>
  <c r="O290" i="18" s="1"/>
  <c r="L329" i="3"/>
  <c r="O329" i="3" s="1"/>
  <c r="L310" i="12"/>
  <c r="O310" i="12" s="1"/>
  <c r="O222" i="14"/>
  <c r="L310" i="15"/>
  <c r="O310" i="15" s="1"/>
  <c r="P18" i="2"/>
  <c r="O22" i="16"/>
  <c r="N220" i="1"/>
  <c r="O118" i="12"/>
  <c r="O66" i="12"/>
  <c r="L94" i="7"/>
  <c r="O94" i="7" s="1"/>
  <c r="L636" i="13"/>
  <c r="O636" i="13" s="1"/>
  <c r="L310" i="13"/>
  <c r="O310" i="13" s="1"/>
  <c r="L140" i="3"/>
  <c r="O140" i="3" s="1"/>
  <c r="P20" i="2"/>
  <c r="N118" i="1"/>
  <c r="L250" i="8"/>
  <c r="O250" i="8" s="1"/>
  <c r="L12" i="16"/>
  <c r="L10" i="16" s="1"/>
  <c r="O10" i="16" s="1"/>
  <c r="L220" i="10"/>
  <c r="O220" i="10" s="1"/>
  <c r="O43" i="15"/>
  <c r="N37" i="6"/>
  <c r="L41" i="6"/>
  <c r="O41" i="6" s="1"/>
  <c r="O43" i="4"/>
  <c r="L636" i="8"/>
  <c r="O636" i="8" s="1"/>
  <c r="L140" i="5"/>
  <c r="O140" i="5" s="1"/>
  <c r="L53" i="16"/>
  <c r="O53" i="16" s="1"/>
  <c r="O140" i="14"/>
  <c r="N8" i="9"/>
  <c r="O68" i="12"/>
  <c r="L290" i="8"/>
  <c r="O290" i="8" s="1"/>
  <c r="O271" i="6"/>
  <c r="O22" i="10"/>
  <c r="L310" i="8"/>
  <c r="O310" i="8" s="1"/>
  <c r="O140" i="12"/>
  <c r="O273" i="6"/>
  <c r="L140" i="2"/>
  <c r="O140" i="2" s="1"/>
  <c r="O28" i="17"/>
  <c r="O220" i="2"/>
  <c r="N37" i="7"/>
  <c r="L271" i="12"/>
  <c r="O271" i="12" s="1"/>
  <c r="L290" i="5"/>
  <c r="O290" i="5" s="1"/>
  <c r="P312" i="1"/>
  <c r="L94" i="3"/>
  <c r="O94" i="3" s="1"/>
  <c r="L94" i="6"/>
  <c r="O94" i="6" s="1"/>
  <c r="L290" i="11"/>
  <c r="O290" i="11" s="1"/>
  <c r="L250" i="5"/>
  <c r="O250" i="5" s="1"/>
  <c r="O312" i="2"/>
  <c r="L140" i="9"/>
  <c r="O140" i="9" s="1"/>
  <c r="O273" i="18"/>
  <c r="L220" i="4"/>
  <c r="O220" i="4" s="1"/>
  <c r="O53" i="15"/>
  <c r="O252" i="16"/>
  <c r="L250" i="4"/>
  <c r="O250" i="4" s="1"/>
  <c r="L140" i="17"/>
  <c r="O140" i="17" s="1"/>
  <c r="L66" i="8"/>
  <c r="O66" i="8" s="1"/>
  <c r="O331" i="2"/>
  <c r="L271" i="9"/>
  <c r="O271" i="9" s="1"/>
  <c r="P292" i="1"/>
  <c r="O638" i="17"/>
  <c r="L310" i="11"/>
  <c r="O310" i="11" s="1"/>
  <c r="O120" i="5"/>
  <c r="L12" i="10"/>
  <c r="O12" i="10" s="1"/>
  <c r="N37" i="2"/>
  <c r="O120" i="14"/>
  <c r="L9" i="3"/>
  <c r="O9" i="3" s="1"/>
  <c r="L310" i="16"/>
  <c r="O310" i="16" s="1"/>
  <c r="O273" i="2"/>
  <c r="L329" i="4"/>
  <c r="O329" i="4" s="1"/>
  <c r="O292" i="3"/>
  <c r="P66" i="3"/>
  <c r="P331" i="12"/>
  <c r="L41" i="13"/>
  <c r="O41" i="13" s="1"/>
  <c r="N8" i="17"/>
  <c r="L53" i="13"/>
  <c r="O53" i="13" s="1"/>
  <c r="L140" i="6"/>
  <c r="O140" i="6" s="1"/>
  <c r="O22" i="13"/>
  <c r="M16" i="14"/>
  <c r="P16" i="14" s="1"/>
  <c r="L310" i="4"/>
  <c r="O310" i="4" s="1"/>
  <c r="P26" i="14"/>
  <c r="L220" i="17"/>
  <c r="O220" i="17" s="1"/>
  <c r="L290" i="2"/>
  <c r="O290" i="2" s="1"/>
  <c r="L250" i="3"/>
  <c r="O250" i="3" s="1"/>
  <c r="N37" i="8"/>
  <c r="L20" i="13"/>
  <c r="O20" i="13" s="1"/>
  <c r="O96" i="10"/>
  <c r="L20" i="15"/>
  <c r="O20" i="15" s="1"/>
  <c r="L12" i="15"/>
  <c r="O12" i="15" s="1"/>
  <c r="O55" i="2"/>
  <c r="O41" i="17"/>
  <c r="L310" i="9"/>
  <c r="O310" i="9" s="1"/>
  <c r="L250" i="18"/>
  <c r="O250" i="18" s="1"/>
  <c r="N8" i="7"/>
  <c r="N37" i="17"/>
  <c r="N37" i="3"/>
  <c r="L329" i="6"/>
  <c r="O329" i="6" s="1"/>
  <c r="L41" i="7"/>
  <c r="O41" i="7" s="1"/>
  <c r="L290" i="13"/>
  <c r="O290" i="13" s="1"/>
  <c r="L94" i="13"/>
  <c r="O94" i="13" s="1"/>
  <c r="O96" i="17"/>
  <c r="L12" i="12"/>
  <c r="O12" i="12" s="1"/>
  <c r="L292" i="1"/>
  <c r="O292" i="1" s="1"/>
  <c r="L20" i="12"/>
  <c r="L18" i="12" s="1"/>
  <c r="O18" i="12" s="1"/>
  <c r="L310" i="6"/>
  <c r="O310" i="6" s="1"/>
  <c r="N8" i="13"/>
  <c r="L220" i="5"/>
  <c r="O220" i="5" s="1"/>
  <c r="O16" i="6"/>
  <c r="P26" i="3"/>
  <c r="O22" i="9"/>
  <c r="P220" i="2"/>
  <c r="L94" i="18"/>
  <c r="O94" i="18" s="1"/>
  <c r="L290" i="7"/>
  <c r="O290" i="7" s="1"/>
  <c r="L66" i="7"/>
  <c r="O66" i="7" s="1"/>
  <c r="L20" i="9"/>
  <c r="L18" i="9" s="1"/>
  <c r="O18" i="9" s="1"/>
  <c r="P41" i="17"/>
  <c r="P222" i="1"/>
  <c r="O140" i="7"/>
  <c r="P94" i="12"/>
  <c r="N8" i="5"/>
  <c r="P271" i="10"/>
  <c r="L250" i="10"/>
  <c r="O250" i="10" s="1"/>
  <c r="O142" i="8"/>
  <c r="L140" i="8"/>
  <c r="O140" i="8" s="1"/>
  <c r="L53" i="9"/>
  <c r="O53" i="9" s="1"/>
  <c r="P120" i="1"/>
  <c r="N37" i="10"/>
  <c r="N37" i="15"/>
  <c r="L140" i="4"/>
  <c r="O140" i="4" s="1"/>
  <c r="O292" i="14"/>
  <c r="N8" i="18"/>
  <c r="O43" i="10"/>
  <c r="M68" i="1"/>
  <c r="P68" i="1" s="1"/>
  <c r="M20" i="3"/>
  <c r="M18" i="3" s="1"/>
  <c r="P18" i="3" s="1"/>
  <c r="N271" i="1"/>
  <c r="N250" i="1"/>
  <c r="P142" i="1"/>
  <c r="L66" i="6"/>
  <c r="O66" i="6" s="1"/>
  <c r="L222" i="1"/>
  <c r="O222" i="1" s="1"/>
  <c r="L140" i="10"/>
  <c r="O140" i="10" s="1"/>
  <c r="L118" i="9"/>
  <c r="O118" i="9" s="1"/>
  <c r="N8" i="12"/>
  <c r="O222" i="11"/>
  <c r="L220" i="11"/>
  <c r="O220" i="11" s="1"/>
  <c r="O43" i="17"/>
  <c r="O66" i="15"/>
  <c r="O331" i="18"/>
  <c r="L329" i="18"/>
  <c r="O329" i="18" s="1"/>
  <c r="O29" i="17"/>
  <c r="L53" i="3"/>
  <c r="O53" i="3" s="1"/>
  <c r="N37" i="13"/>
  <c r="O57" i="1"/>
  <c r="L96" i="1"/>
  <c r="O96" i="1" s="1"/>
  <c r="P252" i="1"/>
  <c r="P66" i="12"/>
  <c r="O96" i="9"/>
  <c r="L329" i="5"/>
  <c r="O329" i="5" s="1"/>
  <c r="O55" i="18"/>
  <c r="L53" i="18"/>
  <c r="O53" i="18" s="1"/>
  <c r="L118" i="10"/>
  <c r="O118" i="10" s="1"/>
  <c r="O18" i="10"/>
  <c r="O222" i="7"/>
  <c r="L220" i="7"/>
  <c r="O220" i="7" s="1"/>
  <c r="L120" i="1"/>
  <c r="O120" i="1" s="1"/>
  <c r="O66" i="11"/>
  <c r="O252" i="9"/>
  <c r="L250" i="9"/>
  <c r="O250" i="9" s="1"/>
  <c r="P20" i="10"/>
  <c r="P20" i="16"/>
  <c r="N37" i="4"/>
  <c r="O120" i="13"/>
  <c r="L118" i="13"/>
  <c r="O118" i="13" s="1"/>
  <c r="N8" i="4"/>
  <c r="N140" i="1"/>
  <c r="L290" i="17"/>
  <c r="O290" i="17" s="1"/>
  <c r="N8" i="11"/>
  <c r="L20" i="6"/>
  <c r="O20" i="6" s="1"/>
  <c r="L331" i="1"/>
  <c r="O331" i="1" s="1"/>
  <c r="L28" i="15"/>
  <c r="O28" i="15" s="1"/>
  <c r="L12" i="6"/>
  <c r="L10" i="6" s="1"/>
  <c r="O10" i="6" s="1"/>
  <c r="L252" i="1"/>
  <c r="O252" i="1" s="1"/>
  <c r="O34" i="1"/>
  <c r="M94" i="6"/>
  <c r="P94" i="6" s="1"/>
  <c r="P96" i="6"/>
  <c r="P12" i="5"/>
  <c r="P16" i="6"/>
  <c r="O20" i="16"/>
  <c r="N37" i="14"/>
  <c r="P329" i="12"/>
  <c r="N8" i="16"/>
  <c r="M37" i="18"/>
  <c r="P26" i="6"/>
  <c r="L329" i="17"/>
  <c r="O329" i="17" s="1"/>
  <c r="O331" i="17"/>
  <c r="P12" i="8"/>
  <c r="L273" i="1"/>
  <c r="O273" i="1" s="1"/>
  <c r="M140" i="1"/>
  <c r="N37" i="12"/>
  <c r="N11" i="1"/>
  <c r="N9" i="1" s="1"/>
  <c r="M20" i="6"/>
  <c r="P20" i="6" s="1"/>
  <c r="N329" i="1"/>
  <c r="P18" i="5"/>
  <c r="L140" i="13"/>
  <c r="O140" i="13" s="1"/>
  <c r="O142" i="13"/>
  <c r="M37" i="15"/>
  <c r="O14" i="6"/>
  <c r="N37" i="18"/>
  <c r="L28" i="3"/>
  <c r="O28" i="3" s="1"/>
  <c r="L94" i="14"/>
  <c r="O94" i="14" s="1"/>
  <c r="O96" i="14"/>
  <c r="O273" i="7"/>
  <c r="N94" i="1"/>
  <c r="O94" i="12"/>
  <c r="P96" i="5"/>
  <c r="M94" i="5"/>
  <c r="P94" i="5" s="1"/>
  <c r="O222" i="6"/>
  <c r="L220" i="6"/>
  <c r="O220" i="6" s="1"/>
  <c r="P68" i="16"/>
  <c r="M66" i="16"/>
  <c r="P66" i="16" s="1"/>
  <c r="L14" i="1"/>
  <c r="O14" i="1" s="1"/>
  <c r="P41" i="13"/>
  <c r="P271" i="11"/>
  <c r="O66" i="18"/>
  <c r="O55" i="14"/>
  <c r="L53" i="14"/>
  <c r="O53" i="14" s="1"/>
  <c r="P12" i="2"/>
  <c r="N12" i="1"/>
  <c r="N10" i="1" s="1"/>
  <c r="L636" i="3"/>
  <c r="O636" i="3" s="1"/>
  <c r="O638" i="3"/>
  <c r="P26" i="16"/>
  <c r="M16" i="16"/>
  <c r="P16" i="16" s="1"/>
  <c r="O292" i="10"/>
  <c r="L290" i="10"/>
  <c r="O273" i="17"/>
  <c r="L271" i="17"/>
  <c r="O271" i="17" s="1"/>
  <c r="P329" i="13"/>
  <c r="O329" i="13"/>
  <c r="P20" i="17"/>
  <c r="M18" i="17"/>
  <c r="P18" i="17" s="1"/>
  <c r="O22" i="2"/>
  <c r="L12" i="2"/>
  <c r="L20" i="2"/>
  <c r="P41" i="5"/>
  <c r="O41" i="14"/>
  <c r="L16" i="1"/>
  <c r="O16" i="1" s="1"/>
  <c r="O26" i="1"/>
  <c r="P9" i="13"/>
  <c r="P20" i="9"/>
  <c r="M18" i="9"/>
  <c r="P18" i="9" s="1"/>
  <c r="P43" i="4"/>
  <c r="M41" i="4"/>
  <c r="O41" i="9"/>
  <c r="P20" i="13"/>
  <c r="M18" i="13"/>
  <c r="P18" i="13" s="1"/>
  <c r="O41" i="16"/>
  <c r="O312" i="14"/>
  <c r="L310" i="14"/>
  <c r="O310" i="14" s="1"/>
  <c r="P310" i="4"/>
  <c r="M310" i="1"/>
  <c r="O638" i="11"/>
  <c r="L636" i="11"/>
  <c r="O636" i="11" s="1"/>
  <c r="P9" i="17"/>
  <c r="O55" i="17"/>
  <c r="L53" i="17"/>
  <c r="P20" i="12"/>
  <c r="N20" i="1"/>
  <c r="N18" i="1" s="1"/>
  <c r="P49" i="1"/>
  <c r="M26" i="1"/>
  <c r="M20" i="1" s="1"/>
  <c r="P250" i="7"/>
  <c r="M250" i="1"/>
  <c r="L9" i="11"/>
  <c r="O11" i="11"/>
  <c r="O41" i="15"/>
  <c r="O271" i="2"/>
  <c r="M290" i="1"/>
  <c r="P290" i="1" s="1"/>
  <c r="O638" i="5"/>
  <c r="L636" i="5"/>
  <c r="O636" i="5" s="1"/>
  <c r="M10" i="5"/>
  <c r="P9" i="8"/>
  <c r="P20" i="11"/>
  <c r="O638" i="9"/>
  <c r="L636" i="9"/>
  <c r="O636" i="9" s="1"/>
  <c r="O22" i="14"/>
  <c r="L12" i="14"/>
  <c r="L20" i="14"/>
  <c r="M18" i="14"/>
  <c r="P18" i="14" s="1"/>
  <c r="P20" i="14"/>
  <c r="P20" i="15"/>
  <c r="M18" i="15"/>
  <c r="P18" i="15" s="1"/>
  <c r="O638" i="2"/>
  <c r="L636" i="2"/>
  <c r="O636" i="2" s="1"/>
  <c r="P12" i="9"/>
  <c r="M10" i="9"/>
  <c r="M37" i="14"/>
  <c r="P273" i="1"/>
  <c r="L638" i="1"/>
  <c r="O640" i="1"/>
  <c r="P10" i="2"/>
  <c r="O29" i="4"/>
  <c r="L28" i="4"/>
  <c r="O28" i="4" s="1"/>
  <c r="M10" i="10"/>
  <c r="P10" i="10" s="1"/>
  <c r="P12" i="10"/>
  <c r="O29" i="8"/>
  <c r="L28" i="8"/>
  <c r="O28" i="8" s="1"/>
  <c r="O29" i="10"/>
  <c r="L28" i="10"/>
  <c r="O28" i="10" s="1"/>
  <c r="P9" i="1"/>
  <c r="L20" i="17"/>
  <c r="O22" i="17"/>
  <c r="L12" i="17"/>
  <c r="P22" i="1"/>
  <c r="M12" i="1"/>
  <c r="O331" i="7"/>
  <c r="L329" i="7"/>
  <c r="P9" i="10"/>
  <c r="P12" i="12"/>
  <c r="M10" i="12"/>
  <c r="P10" i="12" s="1"/>
  <c r="P9" i="15"/>
  <c r="O29" i="18"/>
  <c r="L28" i="18"/>
  <c r="O28" i="18" s="1"/>
  <c r="M16" i="7"/>
  <c r="P26" i="7"/>
  <c r="M20" i="7"/>
  <c r="M37" i="8"/>
  <c r="P41" i="8"/>
  <c r="O9" i="6"/>
  <c r="O11" i="9"/>
  <c r="L9" i="9"/>
  <c r="P9" i="2"/>
  <c r="M8" i="2"/>
  <c r="O638" i="14"/>
  <c r="L636" i="14"/>
  <c r="O636" i="14" s="1"/>
  <c r="L43" i="1"/>
  <c r="L22" i="1"/>
  <c r="O45" i="1"/>
  <c r="P20" i="4"/>
  <c r="M18" i="4"/>
  <c r="P18" i="4" s="1"/>
  <c r="O638" i="7"/>
  <c r="L636" i="7"/>
  <c r="O636" i="7" s="1"/>
  <c r="L28" i="16"/>
  <c r="O28" i="16" s="1"/>
  <c r="O29" i="16"/>
  <c r="P12" i="13"/>
  <c r="M10" i="13"/>
  <c r="P10" i="13" s="1"/>
  <c r="M18" i="16"/>
  <c r="P18" i="16" s="1"/>
  <c r="P12" i="14"/>
  <c r="P118" i="2"/>
  <c r="M118" i="1"/>
  <c r="L28" i="12"/>
  <c r="O28" i="12" s="1"/>
  <c r="O29" i="12"/>
  <c r="P12" i="18"/>
  <c r="M10" i="18"/>
  <c r="P10" i="18" s="1"/>
  <c r="O312" i="3"/>
  <c r="L312" i="1"/>
  <c r="O312" i="1" s="1"/>
  <c r="L310" i="3"/>
  <c r="P26" i="4"/>
  <c r="M16" i="4"/>
  <c r="P16" i="4" s="1"/>
  <c r="O29" i="6"/>
  <c r="L28" i="6"/>
  <c r="O28" i="6" s="1"/>
  <c r="P68" i="7"/>
  <c r="M66" i="7"/>
  <c r="P66" i="7" s="1"/>
  <c r="O331" i="16"/>
  <c r="L329" i="16"/>
  <c r="O329" i="16" s="1"/>
  <c r="P12" i="16"/>
  <c r="O9" i="5"/>
  <c r="O68" i="2"/>
  <c r="L68" i="1"/>
  <c r="O68" i="1" s="1"/>
  <c r="L66" i="2"/>
  <c r="P220" i="3"/>
  <c r="M220" i="1"/>
  <c r="M10" i="6"/>
  <c r="P12" i="6"/>
  <c r="L53" i="11"/>
  <c r="O55" i="11"/>
  <c r="M10" i="11"/>
  <c r="P10" i="11" s="1"/>
  <c r="P12" i="11"/>
  <c r="M37" i="13"/>
  <c r="P37" i="13" s="1"/>
  <c r="O252" i="14"/>
  <c r="L250" i="14"/>
  <c r="O250" i="14" s="1"/>
  <c r="N8" i="2"/>
  <c r="P20" i="5"/>
  <c r="O9" i="17"/>
  <c r="O142" i="15"/>
  <c r="L140" i="15"/>
  <c r="O140" i="15" s="1"/>
  <c r="P66" i="2"/>
  <c r="O22" i="3"/>
  <c r="L12" i="3"/>
  <c r="L20" i="3"/>
  <c r="O32" i="1"/>
  <c r="L30" i="1"/>
  <c r="O30" i="1" s="1"/>
  <c r="O638" i="4"/>
  <c r="L636" i="4"/>
  <c r="O636" i="4" s="1"/>
  <c r="L10" i="9"/>
  <c r="O10" i="9" s="1"/>
  <c r="O12" i="9"/>
  <c r="N8" i="15"/>
  <c r="O9" i="2"/>
  <c r="M43" i="1"/>
  <c r="M37" i="11"/>
  <c r="P41" i="11"/>
  <c r="O9" i="12"/>
  <c r="O29" i="14"/>
  <c r="L28" i="14"/>
  <c r="O28" i="14" s="1"/>
  <c r="O12" i="13"/>
  <c r="L10" i="13"/>
  <c r="O10" i="13" s="1"/>
  <c r="O11" i="16"/>
  <c r="L9" i="16"/>
  <c r="O22" i="4"/>
  <c r="L12" i="4"/>
  <c r="L20" i="4"/>
  <c r="P331" i="7"/>
  <c r="M329" i="7"/>
  <c r="P329" i="7" s="1"/>
  <c r="P18" i="11"/>
  <c r="L28" i="13"/>
  <c r="O28" i="13" s="1"/>
  <c r="O29" i="13"/>
  <c r="P20" i="18"/>
  <c r="M18" i="18"/>
  <c r="P18" i="18" s="1"/>
  <c r="O9" i="7"/>
  <c r="P9" i="12"/>
  <c r="O23" i="1"/>
  <c r="L13" i="1"/>
  <c r="O13" i="1" s="1"/>
  <c r="P12" i="15"/>
  <c r="M10" i="15"/>
  <c r="P10" i="15" s="1"/>
  <c r="P96" i="7"/>
  <c r="M94" i="7"/>
  <c r="P94" i="7" s="1"/>
  <c r="P12" i="17"/>
  <c r="M271" i="1"/>
  <c r="P271" i="3"/>
  <c r="P9" i="14"/>
  <c r="L636" i="15"/>
  <c r="O636" i="15" s="1"/>
  <c r="O638" i="15"/>
  <c r="O31" i="1"/>
  <c r="L29" i="1"/>
  <c r="L53" i="8"/>
  <c r="O55" i="8"/>
  <c r="O142" i="11"/>
  <c r="L140" i="11"/>
  <c r="O140" i="11" s="1"/>
  <c r="L18" i="16"/>
  <c r="O18" i="16" s="1"/>
  <c r="P9" i="18"/>
  <c r="O30" i="2"/>
  <c r="L28" i="2"/>
  <c r="O28" i="2" s="1"/>
  <c r="P9" i="4"/>
  <c r="O22" i="11"/>
  <c r="L12" i="11"/>
  <c r="L20" i="11"/>
  <c r="M18" i="12"/>
  <c r="P18" i="12" s="1"/>
  <c r="M96" i="1"/>
  <c r="P96" i="1" s="1"/>
  <c r="L9" i="4"/>
  <c r="O11" i="4"/>
  <c r="O19" i="1"/>
  <c r="O22" i="7"/>
  <c r="L12" i="7"/>
  <c r="L20" i="7"/>
  <c r="L142" i="1"/>
  <c r="O142" i="1" s="1"/>
  <c r="O638" i="6"/>
  <c r="L636" i="6"/>
  <c r="O636" i="6" s="1"/>
  <c r="M37" i="10"/>
  <c r="P41" i="10"/>
  <c r="L9" i="8"/>
  <c r="O11" i="8"/>
  <c r="O271" i="11"/>
  <c r="N37" i="11"/>
  <c r="P12" i="4"/>
  <c r="O638" i="10"/>
  <c r="L636" i="10"/>
  <c r="O636" i="10" s="1"/>
  <c r="P220" i="9"/>
  <c r="M37" i="9"/>
  <c r="P37" i="9" s="1"/>
  <c r="O20" i="10"/>
  <c r="P96" i="17"/>
  <c r="M94" i="17"/>
  <c r="P94" i="17" s="1"/>
  <c r="O43" i="5"/>
  <c r="L41" i="5"/>
  <c r="N8" i="10"/>
  <c r="N66" i="1"/>
  <c r="O55" i="5"/>
  <c r="L53" i="5"/>
  <c r="O53" i="5" s="1"/>
  <c r="M41" i="7"/>
  <c r="P43" i="7"/>
  <c r="O22" i="18"/>
  <c r="L12" i="18"/>
  <c r="L20" i="18"/>
  <c r="O11" i="18"/>
  <c r="L9" i="18"/>
  <c r="O11" i="14"/>
  <c r="L9" i="14"/>
  <c r="O94" i="2"/>
  <c r="O29" i="11"/>
  <c r="L28" i="11"/>
  <c r="O28" i="11" s="1"/>
  <c r="P94" i="3"/>
  <c r="P9" i="11"/>
  <c r="M37" i="3"/>
  <c r="O29" i="7"/>
  <c r="L28" i="7"/>
  <c r="O28" i="7" s="1"/>
  <c r="O22" i="8"/>
  <c r="L12" i="8"/>
  <c r="L20" i="8"/>
  <c r="O29" i="9"/>
  <c r="L28" i="9"/>
  <c r="O28" i="9" s="1"/>
  <c r="O55" i="4"/>
  <c r="L53" i="4"/>
  <c r="M331" i="1"/>
  <c r="P331" i="1" s="1"/>
  <c r="P41" i="6"/>
  <c r="O68" i="13"/>
  <c r="L66" i="13"/>
  <c r="O66" i="13" s="1"/>
  <c r="O68" i="17"/>
  <c r="L66" i="17"/>
  <c r="O66" i="17" s="1"/>
  <c r="L9" i="10"/>
  <c r="O11" i="10"/>
  <c r="N8" i="3"/>
  <c r="O11" i="1"/>
  <c r="L9" i="1"/>
  <c r="P12" i="3"/>
  <c r="M10" i="3"/>
  <c r="O638" i="18"/>
  <c r="L636" i="18"/>
  <c r="O636" i="18" s="1"/>
  <c r="O29" i="5"/>
  <c r="L28" i="5"/>
  <c r="O28" i="5" s="1"/>
  <c r="P26" i="8"/>
  <c r="M16" i="8"/>
  <c r="M20" i="8"/>
  <c r="O68" i="16"/>
  <c r="L66" i="16"/>
  <c r="O66" i="16" s="1"/>
  <c r="O638" i="16"/>
  <c r="L636" i="16"/>
  <c r="O636" i="16" s="1"/>
  <c r="M18" i="10"/>
  <c r="P18" i="10" s="1"/>
  <c r="O11" i="13"/>
  <c r="L9" i="13"/>
  <c r="P66" i="15"/>
  <c r="P26" i="17"/>
  <c r="M16" i="17"/>
  <c r="P16" i="17" s="1"/>
  <c r="O22" i="5"/>
  <c r="L12" i="5"/>
  <c r="L20" i="5"/>
  <c r="P12" i="7"/>
  <c r="M37" i="2"/>
  <c r="P41" i="2"/>
  <c r="M37" i="12"/>
  <c r="O43" i="18"/>
  <c r="L41" i="18"/>
  <c r="N28" i="1"/>
  <c r="O55" i="1"/>
  <c r="L53" i="1"/>
  <c r="O53" i="1" s="1"/>
  <c r="L10" i="10" l="1"/>
  <c r="O10" i="10" s="1"/>
  <c r="P310" i="1"/>
  <c r="L37" i="12"/>
  <c r="O37" i="12" s="1"/>
  <c r="P220" i="1"/>
  <c r="P118" i="1"/>
  <c r="O12" i="16"/>
  <c r="L18" i="15"/>
  <c r="O18" i="15" s="1"/>
  <c r="P37" i="10"/>
  <c r="P37" i="3"/>
  <c r="P37" i="2"/>
  <c r="O20" i="12"/>
  <c r="O12" i="6"/>
  <c r="L10" i="12"/>
  <c r="O10" i="12" s="1"/>
  <c r="L18" i="13"/>
  <c r="O18" i="13" s="1"/>
  <c r="M10" i="14"/>
  <c r="P10" i="14" s="1"/>
  <c r="P37" i="14"/>
  <c r="L10" i="15"/>
  <c r="O10" i="15" s="1"/>
  <c r="P250" i="1"/>
  <c r="P37" i="15"/>
  <c r="L37" i="9"/>
  <c r="O37" i="9" s="1"/>
  <c r="P20" i="3"/>
  <c r="P37" i="8"/>
  <c r="L118" i="1"/>
  <c r="O118" i="1" s="1"/>
  <c r="P271" i="1"/>
  <c r="P37" i="12"/>
  <c r="L290" i="1"/>
  <c r="O290" i="1" s="1"/>
  <c r="P140" i="1"/>
  <c r="O20" i="9"/>
  <c r="M37" i="5"/>
  <c r="P37" i="5" s="1"/>
  <c r="N8" i="1"/>
  <c r="L37" i="7"/>
  <c r="O37" i="7" s="1"/>
  <c r="L94" i="1"/>
  <c r="O94" i="1" s="1"/>
  <c r="L37" i="6"/>
  <c r="O37" i="6" s="1"/>
  <c r="L220" i="1"/>
  <c r="O220" i="1" s="1"/>
  <c r="M18" i="6"/>
  <c r="P18" i="6" s="1"/>
  <c r="L18" i="6"/>
  <c r="O18" i="6" s="1"/>
  <c r="M10" i="16"/>
  <c r="M8" i="16" s="1"/>
  <c r="P8" i="16" s="1"/>
  <c r="M66" i="1"/>
  <c r="P66" i="1" s="1"/>
  <c r="P37" i="18"/>
  <c r="M37" i="6"/>
  <c r="P37" i="6" s="1"/>
  <c r="M37" i="16"/>
  <c r="P37" i="16" s="1"/>
  <c r="N37" i="1"/>
  <c r="M10" i="4"/>
  <c r="P10" i="4" s="1"/>
  <c r="M8" i="10"/>
  <c r="P8" i="10" s="1"/>
  <c r="L271" i="1"/>
  <c r="O271" i="1" s="1"/>
  <c r="M8" i="11"/>
  <c r="P8" i="11" s="1"/>
  <c r="M8" i="18"/>
  <c r="P8" i="18" s="1"/>
  <c r="M37" i="17"/>
  <c r="P37" i="17" s="1"/>
  <c r="L8" i="6"/>
  <c r="O8" i="6" s="1"/>
  <c r="O290" i="10"/>
  <c r="L37" i="10"/>
  <c r="O37" i="10" s="1"/>
  <c r="P20" i="1"/>
  <c r="M18" i="1"/>
  <c r="P18" i="1" s="1"/>
  <c r="O20" i="5"/>
  <c r="L18" i="5"/>
  <c r="O18" i="5" s="1"/>
  <c r="P10" i="3"/>
  <c r="M8" i="3"/>
  <c r="P8" i="3" s="1"/>
  <c r="P37" i="11"/>
  <c r="O66" i="2"/>
  <c r="L66" i="1"/>
  <c r="O66" i="1" s="1"/>
  <c r="L37" i="2"/>
  <c r="O37" i="2" s="1"/>
  <c r="P10" i="9"/>
  <c r="M8" i="9"/>
  <c r="P8" i="9" s="1"/>
  <c r="O20" i="14"/>
  <c r="L18" i="14"/>
  <c r="O18" i="14" s="1"/>
  <c r="L37" i="16"/>
  <c r="O37" i="16" s="1"/>
  <c r="M37" i="4"/>
  <c r="P37" i="4" s="1"/>
  <c r="P41" i="4"/>
  <c r="L140" i="1"/>
  <c r="O140" i="1" s="1"/>
  <c r="O9" i="1"/>
  <c r="L10" i="18"/>
  <c r="O10" i="18" s="1"/>
  <c r="O12" i="18"/>
  <c r="O9" i="8"/>
  <c r="O20" i="7"/>
  <c r="L18" i="7"/>
  <c r="O18" i="7" s="1"/>
  <c r="O12" i="11"/>
  <c r="L10" i="11"/>
  <c r="O10" i="11" s="1"/>
  <c r="O53" i="8"/>
  <c r="L37" i="8"/>
  <c r="O37" i="8" s="1"/>
  <c r="M8" i="12"/>
  <c r="P8" i="12" s="1"/>
  <c r="O12" i="4"/>
  <c r="L10" i="4"/>
  <c r="O10" i="4" s="1"/>
  <c r="P43" i="1"/>
  <c r="M41" i="1"/>
  <c r="O12" i="3"/>
  <c r="L10" i="3"/>
  <c r="O53" i="11"/>
  <c r="L37" i="11"/>
  <c r="O37" i="11" s="1"/>
  <c r="P8" i="2"/>
  <c r="P16" i="7"/>
  <c r="M10" i="7"/>
  <c r="P12" i="1"/>
  <c r="L10" i="14"/>
  <c r="O10" i="14" s="1"/>
  <c r="O12" i="14"/>
  <c r="O9" i="11"/>
  <c r="O20" i="2"/>
  <c r="L18" i="2"/>
  <c r="O18" i="2" s="1"/>
  <c r="O53" i="4"/>
  <c r="L37" i="4"/>
  <c r="O37" i="4" s="1"/>
  <c r="O9" i="10"/>
  <c r="M94" i="1"/>
  <c r="P94" i="1" s="1"/>
  <c r="P41" i="7"/>
  <c r="M37" i="7"/>
  <c r="P37" i="7" s="1"/>
  <c r="M10" i="17"/>
  <c r="O20" i="18"/>
  <c r="L18" i="18"/>
  <c r="O18" i="18" s="1"/>
  <c r="O20" i="11"/>
  <c r="L18" i="11"/>
  <c r="O18" i="11" s="1"/>
  <c r="O20" i="4"/>
  <c r="L18" i="4"/>
  <c r="O18" i="4" s="1"/>
  <c r="O20" i="3"/>
  <c r="L18" i="3"/>
  <c r="O18" i="3" s="1"/>
  <c r="L37" i="18"/>
  <c r="O37" i="18" s="1"/>
  <c r="O41" i="18"/>
  <c r="P20" i="8"/>
  <c r="M18" i="8"/>
  <c r="P18" i="8" s="1"/>
  <c r="O20" i="8"/>
  <c r="L18" i="8"/>
  <c r="O18" i="8" s="1"/>
  <c r="O9" i="14"/>
  <c r="L10" i="7"/>
  <c r="O12" i="7"/>
  <c r="L28" i="1"/>
  <c r="O28" i="1" s="1"/>
  <c r="O29" i="1"/>
  <c r="O638" i="1"/>
  <c r="L636" i="1"/>
  <c r="O636" i="1" s="1"/>
  <c r="L250" i="1"/>
  <c r="O250" i="1" s="1"/>
  <c r="O53" i="17"/>
  <c r="L37" i="17"/>
  <c r="O37" i="17" s="1"/>
  <c r="O12" i="2"/>
  <c r="L10" i="2"/>
  <c r="O9" i="4"/>
  <c r="L8" i="16"/>
  <c r="O8" i="16" s="1"/>
  <c r="O9" i="16"/>
  <c r="P10" i="6"/>
  <c r="M8" i="6"/>
  <c r="P8" i="6" s="1"/>
  <c r="L20" i="1"/>
  <c r="O22" i="1"/>
  <c r="L12" i="1"/>
  <c r="O9" i="9"/>
  <c r="L8" i="9"/>
  <c r="O8" i="9" s="1"/>
  <c r="O12" i="17"/>
  <c r="L10" i="17"/>
  <c r="O12" i="8"/>
  <c r="L10" i="8"/>
  <c r="O10" i="8" s="1"/>
  <c r="O310" i="3"/>
  <c r="L310" i="1"/>
  <c r="O310" i="1" s="1"/>
  <c r="L37" i="3"/>
  <c r="O37" i="3" s="1"/>
  <c r="O43" i="1"/>
  <c r="L41" i="1"/>
  <c r="O329" i="7"/>
  <c r="L329" i="1"/>
  <c r="O329" i="1" s="1"/>
  <c r="L37" i="13"/>
  <c r="O37" i="13" s="1"/>
  <c r="P10" i="5"/>
  <c r="M8" i="5"/>
  <c r="P8" i="5" s="1"/>
  <c r="L37" i="15"/>
  <c r="O37" i="15" s="1"/>
  <c r="P26" i="1"/>
  <c r="M16" i="1"/>
  <c r="P16" i="1" s="1"/>
  <c r="L37" i="14"/>
  <c r="O37" i="14" s="1"/>
  <c r="L8" i="13"/>
  <c r="O8" i="13" s="1"/>
  <c r="O9" i="13"/>
  <c r="P16" i="8"/>
  <c r="M10" i="8"/>
  <c r="L10" i="5"/>
  <c r="O12" i="5"/>
  <c r="O9" i="18"/>
  <c r="L37" i="5"/>
  <c r="O37" i="5" s="1"/>
  <c r="O41" i="5"/>
  <c r="M329" i="1"/>
  <c r="P329" i="1" s="1"/>
  <c r="P20" i="7"/>
  <c r="M18" i="7"/>
  <c r="P18" i="7" s="1"/>
  <c r="M8" i="15"/>
  <c r="P8" i="15" s="1"/>
  <c r="O20" i="17"/>
  <c r="L18" i="17"/>
  <c r="O18" i="17" s="1"/>
  <c r="M8" i="13"/>
  <c r="P8" i="13" s="1"/>
  <c r="L8" i="10" l="1"/>
  <c r="O8" i="10" s="1"/>
  <c r="M8" i="14"/>
  <c r="P8" i="14" s="1"/>
  <c r="M8" i="4"/>
  <c r="P8" i="4" s="1"/>
  <c r="L8" i="12"/>
  <c r="O8" i="12" s="1"/>
  <c r="L8" i="15"/>
  <c r="O8" i="15" s="1"/>
  <c r="P10" i="16"/>
  <c r="L8" i="18"/>
  <c r="O8" i="18" s="1"/>
  <c r="M10" i="1"/>
  <c r="P10" i="1" s="1"/>
  <c r="O10" i="2"/>
  <c r="L8" i="2"/>
  <c r="O8" i="2" s="1"/>
  <c r="O10" i="5"/>
  <c r="L8" i="5"/>
  <c r="O8" i="5" s="1"/>
  <c r="O10" i="3"/>
  <c r="L8" i="3"/>
  <c r="O8" i="3" s="1"/>
  <c r="O10" i="7"/>
  <c r="L8" i="7"/>
  <c r="O8" i="7" s="1"/>
  <c r="L8" i="11"/>
  <c r="O8" i="11" s="1"/>
  <c r="P10" i="7"/>
  <c r="M8" i="7"/>
  <c r="P8" i="7" s="1"/>
  <c r="O41" i="1"/>
  <c r="L37" i="1"/>
  <c r="O37" i="1" s="1"/>
  <c r="P41" i="1"/>
  <c r="M37" i="1"/>
  <c r="P37" i="1" s="1"/>
  <c r="L8" i="14"/>
  <c r="O8" i="14" s="1"/>
  <c r="P10" i="8"/>
  <c r="M8" i="8"/>
  <c r="P8" i="8" s="1"/>
  <c r="O12" i="1"/>
  <c r="L10" i="1"/>
  <c r="O10" i="17"/>
  <c r="L8" i="17"/>
  <c r="O8" i="17" s="1"/>
  <c r="O20" i="1"/>
  <c r="L18" i="1"/>
  <c r="O18" i="1" s="1"/>
  <c r="L8" i="4"/>
  <c r="O8" i="4" s="1"/>
  <c r="P10" i="17"/>
  <c r="M8" i="17"/>
  <c r="P8" i="17" s="1"/>
  <c r="L8" i="8"/>
  <c r="O8" i="8" s="1"/>
  <c r="M8" i="1" l="1"/>
  <c r="P8" i="1" s="1"/>
  <c r="O10" i="1"/>
  <c r="L8" i="1"/>
  <c r="O8" i="1" s="1"/>
</calcChain>
</file>

<file path=xl/sharedStrings.xml><?xml version="1.0" encoding="utf-8"?>
<sst xmlns="http://schemas.openxmlformats.org/spreadsheetml/2006/main" count="23688" uniqueCount="295">
  <si>
    <t>รายละเอียดแผนงาน/โครงการ ผลผลิต/กิจกรรม ปีงบประมาณ พ.ศ. 2565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</si>
  <si>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</si>
  <si>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</si>
  <si>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</si>
  <si>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</si>
  <si>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</si>
  <si>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</si>
  <si>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</si>
  <si>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</si>
  <si>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</si>
  <si>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</si>
  <si>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</si>
  <si>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</si>
  <si>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</si>
  <si>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</si>
  <si>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</si>
  <si>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</si>
  <si>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</si>
  <si>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</si>
  <si>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</si>
  <si>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</si>
  <si>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</si>
  <si>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</si>
  <si>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</si>
  <si>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</si>
  <si>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</si>
  <si>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</si>
  <si>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</si>
  <si>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</si>
  <si>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</si>
  <si>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</si>
  <si>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</si>
  <si>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</si>
  <si>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</si>
  <si>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</si>
  <si>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</si>
  <si>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</si>
  <si>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</si>
  <si>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</si>
  <si>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</si>
  <si>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</si>
  <si>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</si>
  <si>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</si>
  <si>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</si>
  <si>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</si>
  <si>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</si>
  <si>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</si>
  <si>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</si>
  <si>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</si>
  <si>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</si>
  <si>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</si>
  <si>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</si>
  <si>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</si>
  <si>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</si>
  <si>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</si>
  <si>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</si>
  <si>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</si>
  <si>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</si>
  <si>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</si>
  <si>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</si>
  <si>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</si>
  <si>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</si>
  <si>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</si>
  <si>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</si>
  <si>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</si>
  <si>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</si>
  <si>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</si>
  <si>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</si>
  <si>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</si>
  <si>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</si>
  <si>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</si>
  <si>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</si>
  <si>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</si>
  <si>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</si>
  <si>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</si>
  <si>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</si>
  <si>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</si>
  <si>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</si>
  <si>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</si>
  <si>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</si>
  <si>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</si>
  <si>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</si>
  <si>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</si>
  <si>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</si>
  <si>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</si>
  <si>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</si>
  <si>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</si>
  <si>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</si>
  <si>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</si>
  <si>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</si>
  <si>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</si>
  <si>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</si>
  <si>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</si>
  <si>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</si>
  <si>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</si>
  <si>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</si>
  <si>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</si>
  <si>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</si>
  <si>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</si>
  <si>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</si>
  <si>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</si>
  <si>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</si>
  <si>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</si>
  <si>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</si>
  <si>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</si>
  <si>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</si>
  <si>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</si>
  <si>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</si>
  <si>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</si>
  <si>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</si>
  <si>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</si>
  <si>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</si>
  <si>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</si>
  <si>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</si>
  <si>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</si>
  <si>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</si>
  <si>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</si>
  <si>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</si>
  <si>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</si>
  <si>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</si>
  <si>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</si>
  <si>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</si>
  <si>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</si>
  <si>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</si>
  <si>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</si>
  <si>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</si>
  <si>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</si>
  <si>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</si>
  <si>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</si>
  <si>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</si>
  <si>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</si>
  <si>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</si>
  <si>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</si>
  <si>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</si>
  <si>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</si>
  <si>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</si>
  <si>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</si>
  <si>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</si>
  <si>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</si>
  <si>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</si>
  <si>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</si>
  <si>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</si>
  <si>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</si>
  <si>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</si>
  <si>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</si>
  <si>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</si>
  <si>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</si>
  <si>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</si>
  <si>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</si>
  <si>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</si>
  <si>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</si>
  <si>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</si>
  <si>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</si>
  <si>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</si>
  <si>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</si>
  <si>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</si>
  <si>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</si>
  <si>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</si>
  <si>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</si>
  <si>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</si>
  <si>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</si>
  <si>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</si>
  <si>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</si>
  <si>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</si>
  <si>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</si>
  <si>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</si>
  <si>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</si>
  <si>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</si>
  <si>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</si>
  <si>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</si>
  <si>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</si>
  <si>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</si>
  <si>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</si>
  <si>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</si>
  <si>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</si>
  <si>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</si>
  <si>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</si>
  <si>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</si>
  <si>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</si>
  <si>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</si>
  <si>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</si>
  <si>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</si>
  <si>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</si>
  <si>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</si>
  <si>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</si>
  <si>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</si>
  <si>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</si>
  <si>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</si>
  <si>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</si>
  <si>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</si>
  <si>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</si>
  <si>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</si>
  <si>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</si>
  <si>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</si>
  <si>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</si>
  <si>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</si>
  <si>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</si>
  <si>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</si>
  <si>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</si>
  <si>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</si>
  <si>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</si>
  <si>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</si>
  <si>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</si>
  <si>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</si>
  <si>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</si>
  <si>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</si>
  <si>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</si>
  <si>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</si>
  <si>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</si>
  <si>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</si>
  <si>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</si>
  <si>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</si>
  <si>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</si>
  <si>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</si>
  <si>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</si>
  <si>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</si>
  <si>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</si>
  <si>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</si>
  <si>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</si>
  <si>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</si>
  <si>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</si>
  <si>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</si>
  <si>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</si>
  <si>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</si>
  <si>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</si>
  <si>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</si>
  <si>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</si>
  <si>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</si>
  <si>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</si>
  <si>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</si>
  <si>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</si>
  <si>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</si>
  <si>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</si>
  <si>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</si>
  <si>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</si>
  <si>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</si>
  <si>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</si>
  <si>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</si>
  <si>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</si>
  <si>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</si>
  <si>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</si>
  <si>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</si>
  <si>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</si>
  <si>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</si>
  <si>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</si>
  <si>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</si>
  <si>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</si>
  <si>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</si>
  <si>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</si>
  <si>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</si>
  <si>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</si>
  <si>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</si>
  <si>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</si>
  <si>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</si>
  <si>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</si>
  <si>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</si>
  <si>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</si>
  <si>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</si>
  <si>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</si>
  <si>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</si>
  <si>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กำแพงเพชร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</si>
  <si>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</si>
  <si>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</si>
  <si>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</si>
  <si>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เชียงใหม่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</si>
  <si>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</si>
  <si>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ตาก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</si>
  <si>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</si>
  <si>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นครสวรรค์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</si>
  <si>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</si>
  <si>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น่าน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</si>
  <si>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</si>
  <si>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พะเยา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</si>
  <si>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</si>
  <si>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พิจิตร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</si>
  <si>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</si>
  <si>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พิษณุโลก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</si>
  <si>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</si>
  <si>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เพชรบูรณ์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</si>
  <si>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</si>
  <si>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แพร่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</si>
  <si>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</si>
  <si>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แม่ฮ่องสอน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</si>
  <si>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</si>
  <si>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ลำปาง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</si>
  <si>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</si>
  <si>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ลำพูน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</si>
  <si>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</si>
  <si>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สุโขทัย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</si>
  <si>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</si>
  <si>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อุตรดิตถ์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</si>
  <si>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</si>
  <si>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อุทัยธานี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</si>
  <si>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</si>
  <si>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31 พฤษภาคม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</si>
</sst>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23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sz val="11"/>
      <color theme="1"/>
      <name val="Calibri"/>
      <scheme val="minor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5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2" borderId="20" xfId="0" applyNumberFormat="1" applyFont="1" applyFill="1" applyBorder="1" applyAlignment="1"/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9" fontId="15" fillId="2" borderId="19" xfId="0" applyNumberFormat="1" applyFont="1" applyFill="1" applyBorder="1" applyAlignment="1">
      <alignment horizontal="right" vertical="center" wrapText="1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6" fillId="32" borderId="50" xfId="0" applyFont="1" applyFill="1" applyBorder="1" applyAlignment="1"/>
    <xf numFmtId="0" fontId="16" fillId="32" borderId="28" xfId="0" applyFont="1" applyFill="1" applyBorder="1" applyAlignment="1"/>
    <xf numFmtId="188" fontId="16" fillId="32" borderId="28" xfId="0" applyNumberFormat="1" applyFont="1" applyFill="1" applyBorder="1" applyAlignment="1"/>
    <xf numFmtId="188" fontId="17" fillId="32" borderId="28" xfId="0" applyNumberFormat="1" applyFont="1" applyFill="1" applyBorder="1" applyAlignment="1">
      <alignment horizontal="right"/>
    </xf>
    <xf numFmtId="0" fontId="18" fillId="32" borderId="28" xfId="0" applyFont="1" applyFill="1" applyBorder="1"/>
    <xf numFmtId="0" fontId="16" fillId="15" borderId="17" xfId="0" applyFont="1" applyFill="1" applyBorder="1" applyAlignment="1"/>
    <xf numFmtId="0" fontId="16" fillId="15" borderId="18" xfId="0" applyFont="1" applyFill="1" applyBorder="1" applyAlignment="1"/>
    <xf numFmtId="0" fontId="17" fillId="15" borderId="18" xfId="0" applyFont="1" applyFill="1" applyBorder="1" applyAlignment="1"/>
    <xf numFmtId="0" fontId="20" fillId="15" borderId="18" xfId="0" applyFont="1" applyFill="1" applyBorder="1" applyAlignment="1"/>
    <xf numFmtId="0" fontId="20" fillId="0" borderId="19" xfId="0" applyFont="1" applyBorder="1" applyAlignment="1">
      <alignment horizontal="center"/>
    </xf>
    <xf numFmtId="3" fontId="16" fillId="0" borderId="19" xfId="0" applyNumberFormat="1" applyFont="1" applyBorder="1" applyAlignment="1"/>
    <xf numFmtId="0" fontId="16" fillId="0" borderId="19" xfId="0" applyFont="1" applyBorder="1" applyAlignment="1"/>
    <xf numFmtId="188" fontId="16" fillId="0" borderId="19" xfId="0" applyNumberFormat="1" applyFont="1" applyBorder="1" applyAlignment="1"/>
    <xf numFmtId="188" fontId="17" fillId="15" borderId="19" xfId="0" applyNumberFormat="1" applyFont="1" applyFill="1" applyBorder="1" applyAlignment="1">
      <alignment horizontal="right"/>
    </xf>
    <xf numFmtId="0" fontId="18" fillId="0" borderId="19" xfId="0" applyFont="1" applyBorder="1"/>
    <xf numFmtId="188" fontId="20" fillId="15" borderId="19" xfId="0" applyNumberFormat="1" applyFont="1" applyFill="1" applyBorder="1" applyAlignment="1">
      <alignment horizontal="right"/>
    </xf>
    <xf numFmtId="0" fontId="16" fillId="15" borderId="19" xfId="0" applyFont="1" applyFill="1" applyBorder="1" applyAlignment="1"/>
    <xf numFmtId="188" fontId="16" fillId="15" borderId="19" xfId="0" applyNumberFormat="1" applyFont="1" applyFill="1" applyBorder="1" applyAlignment="1"/>
    <xf numFmtId="188" fontId="16" fillId="15" borderId="19" xfId="0" applyNumberFormat="1" applyFont="1" applyFill="1" applyBorder="1"/>
    <xf numFmtId="3" fontId="16" fillId="15" borderId="19" xfId="0" applyNumberFormat="1" applyFont="1" applyFill="1" applyBorder="1" applyAlignment="1"/>
    <xf numFmtId="0" fontId="16" fillId="0" borderId="17" xfId="0" applyFont="1" applyBorder="1" applyAlignment="1"/>
    <xf numFmtId="0" fontId="16" fillId="0" borderId="18" xfId="0" applyFont="1" applyBorder="1" applyAlignment="1"/>
    <xf numFmtId="191" fontId="16" fillId="0" borderId="19" xfId="0" applyNumberFormat="1" applyFont="1" applyBorder="1" applyAlignment="1"/>
    <xf numFmtId="0" fontId="20" fillId="23" borderId="18" xfId="0" applyFont="1" applyFill="1" applyBorder="1" applyAlignment="1">
      <alignment horizontal="right"/>
    </xf>
    <xf numFmtId="187" fontId="16" fillId="15" borderId="19" xfId="0" applyNumberFormat="1" applyFont="1" applyFill="1" applyBorder="1" applyAlignment="1"/>
    <xf numFmtId="189" fontId="20" fillId="4" borderId="19" xfId="0" applyNumberFormat="1" applyFont="1" applyFill="1" applyBorder="1" applyAlignment="1">
      <alignment horizontal="right" wrapText="1"/>
    </xf>
    <xf numFmtId="191" fontId="16" fillId="15" borderId="19" xfId="0" applyNumberFormat="1" applyFont="1" applyFill="1" applyBorder="1" applyAlignment="1"/>
    <xf numFmtId="0" fontId="20" fillId="10" borderId="18" xfId="0" applyFont="1" applyFill="1" applyBorder="1" applyAlignment="1">
      <alignment horizontal="right"/>
    </xf>
    <xf numFmtId="187" fontId="20" fillId="15" borderId="19" xfId="0" applyNumberFormat="1" applyFont="1" applyFill="1" applyBorder="1" applyAlignment="1">
      <alignment horizontal="right"/>
    </xf>
    <xf numFmtId="189" fontId="20" fillId="15" borderId="19" xfId="0" applyNumberFormat="1" applyFont="1" applyFill="1" applyBorder="1" applyAlignment="1">
      <alignment horizontal="right"/>
    </xf>
    <xf numFmtId="188" fontId="20" fillId="0" borderId="19" xfId="0" applyNumberFormat="1" applyFont="1" applyBorder="1" applyAlignment="1">
      <alignment horizontal="right"/>
    </xf>
    <xf numFmtId="191" fontId="20" fillId="6" borderId="19" xfId="0" applyNumberFormat="1" applyFont="1" applyFill="1" applyBorder="1" applyAlignment="1">
      <alignment horizontal="right"/>
    </xf>
    <xf numFmtId="187" fontId="16" fillId="0" borderId="19" xfId="0" applyNumberFormat="1" applyFont="1" applyBorder="1" applyAlignment="1"/>
    <xf numFmtId="189" fontId="16" fillId="0" borderId="19" xfId="0" applyNumberFormat="1" applyFont="1" applyBorder="1" applyAlignment="1"/>
    <xf numFmtId="0" fontId="16" fillId="0" borderId="43" xfId="0" applyFont="1" applyBorder="1" applyAlignment="1"/>
    <xf numFmtId="0" fontId="22" fillId="0" borderId="44" xfId="0" applyFont="1" applyBorder="1" applyAlignment="1"/>
    <xf numFmtId="0" fontId="16" fillId="0" borderId="44" xfId="0" applyFont="1" applyBorder="1" applyAlignment="1"/>
    <xf numFmtId="0" fontId="20" fillId="0" borderId="46" xfId="0" applyFont="1" applyBorder="1" applyAlignment="1">
      <alignment horizontal="center"/>
    </xf>
    <xf numFmtId="187" fontId="16" fillId="0" borderId="46" xfId="0" applyNumberFormat="1" applyFont="1" applyBorder="1" applyAlignment="1"/>
    <xf numFmtId="189" fontId="20" fillId="4" borderId="46" xfId="0" applyNumberFormat="1" applyFont="1" applyFill="1" applyBorder="1" applyAlignment="1">
      <alignment horizontal="right" wrapText="1"/>
    </xf>
    <xf numFmtId="188" fontId="16" fillId="0" borderId="46" xfId="0" applyNumberFormat="1" applyFont="1" applyBorder="1" applyAlignment="1"/>
    <xf numFmtId="191" fontId="16" fillId="0" borderId="46" xfId="0" applyNumberFormat="1" applyFont="1" applyBorder="1" applyAlignment="1"/>
    <xf numFmtId="0" fontId="18" fillId="0" borderId="46" xfId="0" applyFont="1" applyBorder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92" fontId="2" fillId="4" borderId="19" xfId="0" applyNumberFormat="1" applyFont="1" applyFill="1" applyBorder="1" applyAlignment="1">
      <alignment horizontal="right" vertical="center" wrapText="1"/>
    </xf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20" fillId="15" borderId="18" xfId="0" applyFont="1" applyFill="1" applyBorder="1" applyAlignment="1"/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7" fillId="32" borderId="51" xfId="0" applyFont="1" applyFill="1" applyBorder="1" applyAlignment="1"/>
    <xf numFmtId="0" fontId="3" fillId="0" borderId="51" xfId="0" applyFont="1" applyBorder="1"/>
    <xf numFmtId="0" fontId="19" fillId="15" borderId="18" xfId="0" applyFont="1" applyFill="1" applyBorder="1" applyAlignment="1"/>
    <xf numFmtId="0" fontId="21" fillId="22" borderId="18" xfId="0" applyFont="1" applyFill="1" applyBorder="1" applyAlignment="1"/>
    <xf numFmtId="0" fontId="20" fillId="23" borderId="18" xfId="0" applyFont="1" applyFill="1" applyBorder="1" applyAlignment="1"/>
    <xf numFmtId="0" fontId="20" fillId="10" borderId="18" xfId="0" applyFont="1" applyFill="1" applyBorder="1" applyAlignment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70" workbookViewId="0">
      <pane ySplit="6" topLeftCell="A7" activePane="bottomLeft" state="frozen"/>
      <selection activeCell="G96" sqref="G96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9" width="17.7265625" bestFit="1" customWidth="1"/>
    <col min="10" max="10" width="15.81640625" customWidth="1"/>
    <col min="11" max="11" width="10.1796875" customWidth="1"/>
    <col min="12" max="12" width="20.7265625" bestFit="1" customWidth="1"/>
    <col min="13" max="14" width="19.363281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3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3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118975742.94</v>
      </c>
      <c r="M8" s="23">
        <f t="shared" ca="1" si="0"/>
        <v>67810897.439999998</v>
      </c>
      <c r="N8" s="23">
        <f t="shared" ca="1" si="0"/>
        <v>74364406.859999999</v>
      </c>
      <c r="O8" s="22">
        <f t="shared" ref="O8:O16" ca="1" si="1">IF(L8&gt;0,N8*100/L8,0)</f>
        <v>62.503839036754158</v>
      </c>
      <c r="P8" s="22">
        <f t="shared" ref="P8:P16" ca="1" si="2">IF(M8&gt;0,N8*100/M8,0)</f>
        <v>109.6643897476783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118975742.94</v>
      </c>
      <c r="M10" s="30">
        <f t="shared" ca="1" si="4"/>
        <v>67810897.439999998</v>
      </c>
      <c r="N10" s="30">
        <f t="shared" ca="1" si="4"/>
        <v>74364406.859999999</v>
      </c>
      <c r="O10" s="29">
        <f t="shared" ca="1" si="1"/>
        <v>62.503839036754158</v>
      </c>
      <c r="P10" s="29">
        <f t="shared" ca="1" si="2"/>
        <v>109.6643897476783</v>
      </c>
    </row>
    <row r="11" spans="1:16" ht="21.75" customHeight="1" x14ac:dyDescent="0.45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98653524</v>
      </c>
      <c r="M12" s="39">
        <f t="shared" ca="1" si="6"/>
        <v>47488678.5</v>
      </c>
      <c r="N12" s="39">
        <f t="shared" ca="1" si="6"/>
        <v>54042187.920000002</v>
      </c>
      <c r="O12" s="39">
        <f t="shared" ca="1" si="1"/>
        <v>54.779784572115233</v>
      </c>
      <c r="P12" s="39">
        <f t="shared" ca="1" si="2"/>
        <v>113.80015116655646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35134700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63518824</v>
      </c>
      <c r="M14" s="39">
        <f t="shared" si="8"/>
        <v>0</v>
      </c>
      <c r="N14" s="39">
        <f t="shared" ca="1" si="8"/>
        <v>16555970.139999999</v>
      </c>
      <c r="O14" s="39">
        <f t="shared" ca="1" si="1"/>
        <v>26.064667286661347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20322218.939999998</v>
      </c>
      <c r="M16" s="39">
        <f t="shared" ca="1" si="10"/>
        <v>20322218.939999998</v>
      </c>
      <c r="N16" s="39">
        <f t="shared" ca="1" si="10"/>
        <v>20322218.939999998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78811758.939999998</v>
      </c>
      <c r="M18" s="23">
        <f t="shared" ca="1" si="11"/>
        <v>67810897.439999998</v>
      </c>
      <c r="N18" s="23">
        <f t="shared" ca="1" si="11"/>
        <v>57808436.719999999</v>
      </c>
      <c r="O18" s="22">
        <f t="shared" ref="O18:O26" ca="1" si="12">IF(L18&gt;0,N18*100/L18,0)</f>
        <v>73.350014639325593</v>
      </c>
      <c r="P18" s="22">
        <f t="shared" ref="P18:P26" ca="1" si="13">IF(M18&gt;0,N18*100/M18,0)</f>
        <v>85.249478922100522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78811758.939999998</v>
      </c>
      <c r="M20" s="30">
        <f t="shared" ca="1" si="15"/>
        <v>67810897.439999998</v>
      </c>
      <c r="N20" s="30">
        <f t="shared" ca="1" si="15"/>
        <v>57808436.719999999</v>
      </c>
      <c r="O20" s="29">
        <f t="shared" ca="1" si="12"/>
        <v>73.350014639325593</v>
      </c>
      <c r="P20" s="29">
        <f t="shared" ca="1" si="13"/>
        <v>85.249478922100522</v>
      </c>
    </row>
    <row r="21" spans="1:16" ht="21.75" customHeight="1" x14ac:dyDescent="0.45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si="12"/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7">L45+L57+L70+L98+L122+L144+L224+L254+L275+L294+L314+L333</f>
        <v>58489540</v>
      </c>
      <c r="M22" s="42">
        <f t="shared" ca="1" si="17"/>
        <v>47488678.5</v>
      </c>
      <c r="N22" s="39">
        <f t="shared" ca="1" si="17"/>
        <v>37486217.780000001</v>
      </c>
      <c r="O22" s="39">
        <f t="shared" ca="1" si="12"/>
        <v>64.090464346274558</v>
      </c>
      <c r="P22" s="39">
        <f t="shared" ca="1" si="13"/>
        <v>78.937167687241498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8">L46+L58+L71+L99+L123+L145+L225+L255+L276+L295+L315+L334</f>
        <v>35134700</v>
      </c>
      <c r="M23" s="42">
        <f t="shared" si="18"/>
        <v>0</v>
      </c>
      <c r="N23" s="39">
        <f t="shared" si="18"/>
        <v>0</v>
      </c>
      <c r="O23" s="39">
        <f t="shared" ca="1" si="12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19">L47+L59+L72+L100+L124+L146+L226+L256+L277+L296+L316+L335</f>
        <v>23354840</v>
      </c>
      <c r="M24" s="42">
        <f t="shared" si="19"/>
        <v>0</v>
      </c>
      <c r="N24" s="39">
        <f t="shared" si="19"/>
        <v>0</v>
      </c>
      <c r="O24" s="39">
        <f t="shared" ca="1" si="12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20322218.939999998</v>
      </c>
      <c r="M26" s="50">
        <f t="shared" ca="1" si="21"/>
        <v>20322218.939999998</v>
      </c>
      <c r="N26" s="50">
        <f t="shared" ca="1" si="21"/>
        <v>20322218.939999998</v>
      </c>
      <c r="O26" s="50">
        <f t="shared" ca="1" si="12"/>
        <v>100</v>
      </c>
      <c r="P26" s="50">
        <f t="shared" ca="1" si="13"/>
        <v>100</v>
      </c>
    </row>
    <row r="27" spans="1:16" ht="21.75" customHeight="1" x14ac:dyDescent="0.45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2">L29+L30</f>
        <v>40163984</v>
      </c>
      <c r="M28" s="23">
        <f t="shared" si="22"/>
        <v>0</v>
      </c>
      <c r="N28" s="23">
        <f t="shared" ca="1" si="22"/>
        <v>16555970.139999999</v>
      </c>
      <c r="O28" s="22">
        <f t="shared" ref="O28:O30" ca="1" si="23">IF(L28&gt;0,N28*100/L28,0)</f>
        <v>41.220936000771232</v>
      </c>
      <c r="P28" s="22">
        <f t="shared" ref="P28:P37" si="24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40163984</v>
      </c>
      <c r="M30" s="30">
        <f t="shared" si="26"/>
        <v>0</v>
      </c>
      <c r="N30" s="30">
        <f t="shared" ca="1" si="26"/>
        <v>16555970.139999999</v>
      </c>
      <c r="O30" s="29">
        <f t="shared" ca="1" si="23"/>
        <v>41.220936000771232</v>
      </c>
      <c r="P30" s="29">
        <f t="shared" si="24"/>
        <v>0</v>
      </c>
    </row>
    <row r="31" spans="1:16" ht="21.75" customHeight="1" x14ac:dyDescent="0.45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7">L351+L382+L403+L436+L456+L534+L552+L565+L581+L598</f>
        <v>0</v>
      </c>
      <c r="M31" s="39">
        <f t="shared" si="27"/>
        <v>0</v>
      </c>
      <c r="N31" s="39">
        <f t="shared" ca="1" si="27"/>
        <v>0</v>
      </c>
      <c r="O31" s="39">
        <f t="shared" ref="O31:O37" ca="1" si="28">IF(L31&gt;0,N31*100/L31,0)</f>
        <v>0</v>
      </c>
      <c r="P31" s="39">
        <f t="shared" si="24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29">L352+L383+L404+L437+L457+L535+L553+L566+L582+L599</f>
        <v>40163984</v>
      </c>
      <c r="M32" s="39">
        <f t="shared" si="29"/>
        <v>0</v>
      </c>
      <c r="N32" s="39">
        <f t="shared" ca="1" si="29"/>
        <v>16555970.139999999</v>
      </c>
      <c r="O32" s="39">
        <f t="shared" ca="1" si="28"/>
        <v>41.220936000771232</v>
      </c>
      <c r="P32" s="39">
        <f t="shared" si="24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0">L353+L384+L405+L438+L458+L536+L554+L567+L583+L600</f>
        <v>0</v>
      </c>
      <c r="M33" s="39">
        <f t="shared" si="30"/>
        <v>0</v>
      </c>
      <c r="N33" s="39">
        <f t="shared" ca="1" si="30"/>
        <v>0</v>
      </c>
      <c r="O33" s="39">
        <f t="shared" ca="1" si="28"/>
        <v>0</v>
      </c>
      <c r="P33" s="39">
        <f t="shared" si="24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1">L354+L385+L406+L439+L459+L537+L555+L568+L584+L601</f>
        <v>40163984</v>
      </c>
      <c r="M34" s="39">
        <f t="shared" si="31"/>
        <v>0</v>
      </c>
      <c r="N34" s="39">
        <f t="shared" ca="1" si="31"/>
        <v>16555970.139999999</v>
      </c>
      <c r="O34" s="39">
        <f t="shared" ca="1" si="28"/>
        <v>41.220936000771232</v>
      </c>
      <c r="P34" s="39">
        <f t="shared" si="24"/>
        <v>0</v>
      </c>
    </row>
    <row r="35" spans="1:16" ht="21.75" customHeight="1" x14ac:dyDescent="0.45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8"/>
        <v>0</v>
      </c>
      <c r="P36" s="50">
        <f t="shared" si="24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78811758.939999998</v>
      </c>
      <c r="M37" s="55">
        <f t="shared" ca="1" si="32"/>
        <v>67810897.439999998</v>
      </c>
      <c r="N37" s="55">
        <f t="shared" ca="1" si="32"/>
        <v>57808436.720000006</v>
      </c>
      <c r="O37" s="56">
        <f t="shared" ca="1" si="28"/>
        <v>73.350014639325607</v>
      </c>
      <c r="P37" s="56">
        <f t="shared" ca="1" si="24"/>
        <v>85.249478922100536</v>
      </c>
    </row>
    <row r="38" spans="1:16" ht="21.75" customHeight="1" x14ac:dyDescent="0.45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3">L42+L43</f>
        <v>27236729.699999999</v>
      </c>
      <c r="M41" s="79">
        <f t="shared" ca="1" si="33"/>
        <v>24149583.699999999</v>
      </c>
      <c r="N41" s="79">
        <f t="shared" ca="1" si="33"/>
        <v>22777040.109999999</v>
      </c>
      <c r="O41" s="78">
        <f t="shared" ref="O41:O43" ca="1" si="34">IF(L41&gt;0,N41*100/L41,0)</f>
        <v>83.626192868521954</v>
      </c>
      <c r="P41" s="78">
        <f t="shared" ref="P41:P43" ca="1" si="35">IF(M41&gt;0,N41*100/M41,0)</f>
        <v>94.316491716583926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27236729.699999999</v>
      </c>
      <c r="M43" s="79">
        <f t="shared" ca="1" si="37"/>
        <v>24149583.699999999</v>
      </c>
      <c r="N43" s="79">
        <f t="shared" ca="1" si="37"/>
        <v>22777040.109999999</v>
      </c>
      <c r="O43" s="78">
        <f t="shared" ca="1" si="34"/>
        <v>83.626192868521954</v>
      </c>
      <c r="P43" s="78">
        <f t="shared" ca="1" si="35"/>
        <v>94.316491716583926</v>
      </c>
    </row>
    <row r="44" spans="1:16" ht="21.75" customHeight="1" x14ac:dyDescent="0.45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f>กำแพงเพชร!L44+เชียงราย!L44+เชียงใหม่!L44+ตาก!L44+นครสวรรค์!L44+น่าน!L44+พะเยา!L44+พิจิตร!L44+พิษณุโลก!L44+เพชรบูรณ์!L44+แพร่!L44+แม่ฮ่องสอน!L44+ลำปาง!L44+ลำพูน!L44+สุโขทัย!L44+อุตรดิตถ์!L44+อุทัยธานี!L44</f>
        <v>0</v>
      </c>
      <c r="M44" s="88"/>
      <c r="N44" s="87"/>
      <c r="O44" s="87"/>
      <c r="P44" s="87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กำแพงเพชร!L45+เชียงราย!L45+เชียงใหม่!L45+ตาก!L45+นครสวรรค์!L45+น่าน!L45+พะเยา!L45+พิจิตร!L45+พิษณุโลก!L45+เพชรบูรณ์!L45+แพร่!L45+แม่ฮ่องสอน!L45+ลำปาง!L45+ลำพูน!L45+สุโขทัย!L45+อุตรดิตถ์!L45+อุทัยธานี!L45</f>
        <v>12766200</v>
      </c>
      <c r="M45" s="50">
        <f ca="1">กำแพงเพชร!M45+เชียงราย!M45+เชียงใหม่!M45+ตาก!M45+นครสวรรค์!M45+น่าน!M45+พะเยา!M45+พิจิตร!M45+พิษณุโลก!M45+เพชรบูรณ์!M45+แพร่!M45+แม่ฮ่องสอน!M45+ลำปาง!M45+ลำพูน!M45+สุโขทัย!M45+อุตรดิตถ์!M45+อุทัยธานี!M45</f>
        <v>9679054</v>
      </c>
      <c r="N45" s="50">
        <f ca="1">กำแพงเพชร!N45+เชียงราย!N45+เชียงใหม่!N45+ตาก!N45+นครสวรรค์!N45+น่าน!N45+พะเยา!N45+พิจิตร!N45+พิษณุโลก!N45+เพชรบูรณ์!N45+แพร่!N45+แม่ฮ่องสอน!N45+ลำปาง!N45+ลำพูน!N45+สุโขทัย!N45+อุตรดิตถ์!N45+อุทัยธานี!N45</f>
        <v>8306510.4100000001</v>
      </c>
      <c r="O45" s="39">
        <f ca="1">IF(L45&gt;0,N45*100/L45,0)</f>
        <v>65.066428616189626</v>
      </c>
      <c r="P45" s="39">
        <f ca="1">IF(M45&gt;0,N45*100/M45,0)</f>
        <v>85.819444854838082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กำแพงเพชร!L46+เชียงราย!L46+เชียงใหม่!L46+ตาก!L46+นครสวรรค์!L46+น่าน!L46+พะเยา!L46+พิจิตร!L46+พิษณุโลก!L46+เพชรบูรณ์!L46+แพร่!L46+แม่ฮ่องสอน!L46+ลำปาง!L46+ลำพูน!L46+สุโขทัย!L46+อุตรดิตถ์!L46+อุทัยธานี!L46</f>
        <v>12766200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กำแพงเพชร!L47+เชียงราย!L47+เชียงใหม่!L47+ตาก!L47+นครสวรรค์!L47+น่าน!L47+พะเยา!L47+พิจิตร!L47+พิษณุโลก!L47+เพชรบูรณ์!L47+แพร่!L47+แม่ฮ่องสอน!L47+ลำปาง!L47+ลำพูน!L47+สุโขทัย!L47+อุตรดิตถ์!L47+อุทัยธานี!L47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f>กำแพงเพชร!L48+เชียงราย!L48+เชียงใหม่!L48+ตาก!L48+นครสวรรค์!L48+น่าน!L48+พะเยา!L48+พิจิตร!L48+พิษณุโลก!L48+เพชรบูรณ์!L48+แพร่!L48+แม่ฮ่องสอน!L48+ลำปาง!L48+ลำพูน!L48+สุโขทัย!L48+อุตรดิตถ์!L48+อุทัยธานี!L48</f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กำแพงเพชร!L49+เชียงราย!L49+เชียงใหม่!L49+ตาก!L49+นครสวรรค์!L49+น่าน!L49+พะเยา!L49+พิจิตร!L49+พิษณุโลก!L49+เพชรบูรณ์!L49+แพร่!L49+แม่ฮ่องสอน!L49+ลำปาง!L49+ลำพูน!L49+สุโขทัย!L49+อุตรดิตถ์!L49+อุทัยธานี!L49</f>
        <v>14470529.699999999</v>
      </c>
      <c r="M49" s="50">
        <f ca="1">กำแพงเพชร!M49+เชียงราย!M49+เชียงใหม่!M49+ตาก!M49+นครสวรรค์!M49+น่าน!M49+พะเยา!M49+พิจิตร!M49+พิษณุโลก!M49+เพชรบูรณ์!M49+แพร่!M49+แม่ฮ่องสอน!M49+ลำปาง!M49+ลำพูน!M49+สุโขทัย!M49+อุตรดิตถ์!M49+อุทัยธานี!M49</f>
        <v>14470529.699999999</v>
      </c>
      <c r="N49" s="50">
        <f ca="1">กำแพงเพชร!N49+เชียงราย!N49+เชียงใหม่!N49+ตาก!N49+นครสวรรค์!N49+น่าน!N49+พะเยา!N49+พิจิตร!N49+พิษณุโลก!N49+เพชรบูรณ์!N49+แพร่!N49+แม่ฮ่องสอน!N49+ลำปาง!N49+ลำพูน!N49+สุโขทัย!N49+อุตรดิตถ์!N49+อุทัยธานี!N49</f>
        <v>14470529.699999999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8">L54+L55</f>
        <v>8935700</v>
      </c>
      <c r="M53" s="121">
        <f t="shared" ca="1" si="38"/>
        <v>7284024.5</v>
      </c>
      <c r="N53" s="121">
        <f t="shared" ca="1" si="38"/>
        <v>6418229.1699999999</v>
      </c>
      <c r="O53" s="120">
        <f t="shared" ref="O53:O55" ca="1" si="39">IF(L53&gt;0,N53*100/L53,0)</f>
        <v>71.826820170775648</v>
      </c>
      <c r="P53" s="120">
        <f t="shared" ref="P53:P55" ca="1" si="40">IF(M53&gt;0,N53*100/M53,0)</f>
        <v>88.113777898468072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8935700</v>
      </c>
      <c r="M55" s="121">
        <f t="shared" ca="1" si="42"/>
        <v>7284024.5</v>
      </c>
      <c r="N55" s="121">
        <f t="shared" ca="1" si="42"/>
        <v>6418229.1699999999</v>
      </c>
      <c r="O55" s="120">
        <f t="shared" ca="1" si="39"/>
        <v>71.826820170775648</v>
      </c>
      <c r="P55" s="120">
        <f t="shared" ca="1" si="40"/>
        <v>88.113777898468072</v>
      </c>
    </row>
    <row r="56" spans="1:16" ht="21.75" customHeight="1" x14ac:dyDescent="0.45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87">
        <f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0</v>
      </c>
      <c r="M56" s="88"/>
      <c r="N56" s="87"/>
      <c r="O56" s="87"/>
      <c r="P56" s="87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กำแพงเพชร!L57+เชียงราย!L57+เชียงใหม่!L57+ตาก!L57+นครสวรรค์!L57+น่าน!L57+พะเยา!L57+พิจิตร!L57+พิษณุโลก!L57+เพชรบูรณ์!L57+แพร่!L57+แม่ฮ่องสอน!L57+ลำปาง!L57+ลำพูน!L57+สุโขทัย!L57+อุตรดิตถ์!L57+อุทัยธานี!L57</f>
        <v>8935700</v>
      </c>
      <c r="M57" s="50">
        <f ca="1">กำแพงเพชร!M57+เชียงราย!M57+เชียงใหม่!M57+ตาก!M57+นครสวรรค์!M57+น่าน!M57+พะเยา!M57+พิจิตร!M57+พิษณุโลก!M57+เพชรบูรณ์!M57+แพร่!M57+แม่ฮ่องสอน!M57+ลำปาง!M57+ลำพูน!M57+สุโขทัย!M57+อุตรดิตถ์!M57+อุทัยธานี!M57</f>
        <v>7284024.5</v>
      </c>
      <c r="N57" s="50">
        <f ca="1">กำแพงเพชร!N57+เชียงราย!N57+เชียงใหม่!N57+ตาก!N57+นครสวรรค์!N57+น่าน!N57+พะเยา!N57+พิจิตร!N57+พิษณุโลก!N57+เพชรบูรณ์!N57+แพร่!N57+แม่ฮ่องสอน!N57+ลำปาง!N57+ลำพูน!N57+สุโขทัย!N57+อุตรดิตถ์!N57+อุทัยธานี!N57</f>
        <v>6418229.1699999999</v>
      </c>
      <c r="O57" s="39">
        <f ca="1">IF(L57&gt;0,N57*100/L57,0)</f>
        <v>71.826820170775648</v>
      </c>
      <c r="P57" s="39">
        <f ca="1">IF(M57&gt;0,N57*100/M57,0)</f>
        <v>88.113777898468072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กำแพงเพชร!L58+เชียงราย!L58+เชียงใหม่!L58+ตาก!L58+นครสวรรค์!L58+น่าน!L58+พะเยา!L58+พิจิตร!L58+พิษณุโลก!L58+เพชรบูรณ์!L58+แพร่!L58+แม่ฮ่องสอน!L58+ลำปาง!L58+ลำพูน!L58+สุโขทัย!L58+อุตรดิตถ์!L58+อุทัยธานี!L58</f>
        <v>8935700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กำแพงเพชร!L59+เชียงราย!L59+เชียงใหม่!L59+ตาก!L59+นครสวรรค์!L59+น่าน!L59+พะเยา!L59+พิจิตร!L59+พิษณุโลก!L59+เพชรบูรณ์!L59+แพร่!L59+แม่ฮ่องสอน!L59+ลำปาง!L59+ลำพูน!L59+สุโขทัย!L59+อุตรดิตถ์!L59+อุทัยธานี!L59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f>กำแพงเพชร!L60+เชียงราย!L60+เชียงใหม่!L60+ตาก!L60+นครสวรรค์!L60+น่าน!L60+พะเยา!L60+พิจิตร!L60+พิษณุโลก!L60+เพชรบูรณ์!L60+แพร่!L60+แม่ฮ่องสอน!L60+ลำปาง!L60+ลำพูน!L60+สุโขทัย!L60+อุตรดิตถ์!L60+อุทัยธานี!L60</f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กำแพงเพชร!L61+เชียงราย!L61+เชียงใหม่!L61+ตาก!L61+นครสวรรค์!L61+น่าน!L61+พะเยา!L61+พิจิตร!L61+พิษณุโลก!L61+เพชรบูรณ์!L61+แพร่!L61+แม่ฮ่องสอน!L61+ลำปาง!L61+ลำพูน!L61+สุโขทัย!L61+อุตรดิตถ์!L61+อุทัยธานี!L61</f>
        <v>0</v>
      </c>
      <c r="M61" s="50"/>
      <c r="N61" s="50">
        <f ca="1">กำแพงเพชร!N61+เชียงราย!N61+เชียงใหม่!N61+ตาก!N61+นครสวรรค์!N61+น่าน!N61+พะเยา!N61+พิจิตร!N61+พิษณุโลก!N61+เพชรบูรณ์!N61+แพร่!N61+แม่ฮ่องสอน!N61+ลำปาง!N61+ลำพูน!N61+สุโขทัย!N61+อุตรดิตถ์!N61+อุทัยธานี!N61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ำแพงเพชร!I64+เชียงราย!I64+เชียงใหม่!I64+ตาก!I64+นครสวรรค์!I64+น่าน!I64+พะเยา!I64+พิจิตร!I64+พิษณุโลก!I64+เพชรบูรณ์!I64+แพร่!I64+แม่ฮ่องสอน!I64+ลำปาง!I64+ลำพูน!I64+สุโขทัย!I64+อุตรดิตถ์!I64+อุทัยธานี!I64</f>
        <v>13</v>
      </c>
      <c r="J64" s="142">
        <f ca="1"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13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ำแพงเพชร!I65+เชียงราย!I65+เชียงใหม่!I65+ตาก!I65+นครสวรรค์!I65+น่าน!I65+พะเยา!I65+พิจิตร!I65+พิษณุโลก!I65+เพชรบูรณ์!I65+แพร่!I65+แม่ฮ่องสอน!I65+ลำปาง!I65+ลำพูน!I65+สุโขทัย!I65+อุตรดิตถ์!I65+อุทัยธานี!I65</f>
        <v>646</v>
      </c>
      <c r="J65" s="142">
        <f ca="1"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646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ca="1">กำแพงเพชร!L66+เชียงราย!L66+เชียงใหม่!L66+ตาก!L66+นครสวรรค์!L66+น่าน!L66+พะเยา!L66+พิจิตร!L66+พิษณุโลก!L66+เพชรบูรณ์!L66+แพร่!L66+แม่ฮ่องสอน!L66+ลำปาง!L66+ลำพูน!L66+สุโขทัย!L66+อุตรดิตถ์!L66+อุทัยธานี!L66</f>
        <v>10776374.24</v>
      </c>
      <c r="M66" s="152">
        <f ca="1">กำแพงเพชร!M66+เชียงราย!M66+เชียงใหม่!M66+ตาก!M66+นครสวรรค์!M66+น่าน!M66+พะเยา!M66+พิจิตร!M66+พิษณุโลก!M66+เพชรบูรณ์!M66+แพร่!M66+แม่ฮ่องสอน!M66+ลำปาง!M66+ลำพูน!M66+สุโขทัย!M66+อุตรดิตถ์!M66+อุทัยธานี!M66</f>
        <v>9773714.2400000002</v>
      </c>
      <c r="N66" s="152">
        <f ca="1">กำแพงเพชร!N66+เชียงราย!N66+เชียงใหม่!N66+ตาก!N66+นครสวรรค์!N66+น่าน!N66+พะเยา!N66+พิจิตร!N66+พิษณุโลก!N66+เพชรบูรณ์!N66+แพร่!N66+แม่ฮ่องสอน!N66+ลำปาง!N66+ลำพูน!N66+สุโขทัย!N66+อุตรดิตถ์!N66+อุทัยธานี!N66</f>
        <v>8131057.4199999999</v>
      </c>
      <c r="O66" s="151">
        <f t="shared" ref="O66:O68" ca="1" si="44">IF(L66&gt;0,N66*100/L66,0)</f>
        <v>75.452626634095068</v>
      </c>
      <c r="P66" s="151">
        <f t="shared" ref="P66:P68" ca="1" si="45">IF(M66&gt;0,N66*100/M66,0)</f>
        <v>83.193115946880809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>กำแพงเพชร!L67+เชียงราย!L67+เชียงใหม่!L67+ตาก!L67+นครสวรรค์!L67+น่าน!L67+พะเยา!L67+พิจิตร!L67+พิษณุโลก!L67+เพชรบูรณ์!L67+แพร่!L67+แม่ฮ่องสอน!L67+ลำปาง!L67+ลำพูน!L67+สุโขทัย!L67+อุตรดิตถ์!L67+อุทัยธานี!L67</f>
        <v>0</v>
      </c>
      <c r="M67" s="88">
        <f>กำแพงเพชร!M67+เชียงราย!M67+เชียงใหม่!M67+ตาก!M67+นครสวรรค์!M67+น่าน!M67+พะเยา!M67+พิจิตร!M67+พิษณุโลก!M67+เพชรบูรณ์!M67+แพร่!M67+แม่ฮ่องสอน!M67+ลำปาง!M67+ลำพูน!M67+สุโขทัย!M67+อุตรดิตถ์!M67+อุทัยธานี!M67</f>
        <v>0</v>
      </c>
      <c r="N67" s="88">
        <f>กำแพงเพชร!N67+เชียงราย!N67+เชียงใหม่!N67+ตาก!N67+นครสวรรค์!N67+น่าน!N67+พะเยา!N67+พิจิตร!N67+พิษณุโลก!N67+เพชรบูรณ์!N67+แพร่!N67+แม่ฮ่องสอน!N67+ลำปาง!N67+ลำพูน!N67+สุโขทัย!N67+อุตรดิตถ์!N67+อุทัย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10776374.24</v>
      </c>
      <c r="M68" s="88">
        <f ca="1"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9773714.2400000002</v>
      </c>
      <c r="N68" s="88">
        <f ca="1">กำแพงเพชร!N68+เชียงราย!N68+เชียงใหม่!N68+ตาก!N68+นครสวรรค์!N68+น่าน!N68+พะเยา!N68+พิจิตร!N68+พิษณุโลก!N68+เพชรบูรณ์!N68+แพร่!N68+แม่ฮ่องสอน!N68+ลำปาง!N68+ลำพูน!N68+สุโขทัย!N68+อุตรดิตถ์!N68+อุทัยธานี!N68</f>
        <v>8131057.4199999999</v>
      </c>
      <c r="O68" s="156">
        <f t="shared" ca="1" si="44"/>
        <v>75.452626634095068</v>
      </c>
      <c r="P68" s="156">
        <f t="shared" ca="1" si="45"/>
        <v>83.193115946880809</v>
      </c>
    </row>
    <row r="69" spans="1:16" ht="21.75" customHeight="1" x14ac:dyDescent="0.45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ำแพงเพชร!L69+เชียงราย!L69+เชียงใหม่!L69+ตาก!L69+นครสวรรค์!L69+น่าน!L69+พะเยา!L69+พิจิตร!L69+พิษณุโลก!L69+เพชรบูรณ์!L69+แพร่!L69+แม่ฮ่องสอน!L69+ลำปาง!L69+ลำพูน!L69+สุโขทัย!L69+อุตรดิตถ์!L69+อุทัยธานี!L69</f>
        <v>0</v>
      </c>
      <c r="M69" s="164">
        <f>กำแพงเพชร!M69+เชียงราย!M69+เชียงใหม่!M69+ตาก!M69+นครสวรรค์!M69+น่าน!M69+พะเยา!M69+พิจิตร!M69+พิษณุโลก!M69+เพชรบูรณ์!M69+แพร่!M69+แม่ฮ่องสอน!M69+ลำปาง!M69+ลำพูน!M69+สุโขทัย!M69+อุตรดิตถ์!M69+อุทัยธานี!M69</f>
        <v>0</v>
      </c>
      <c r="N69" s="164">
        <f>กำแพงเพชร!N69+เชียงราย!N69+เชียงใหม่!N69+ตาก!N69+นครสวรรค์!N69+น่าน!N69+พะเยา!N69+พิจิตร!N69+พิษณุโลก!N69+เพชรบูรณ์!N69+แพร่!N69+แม่ฮ่องสอน!N69+ลำปาง!N69+ลำพูน!N69+สุโขทัย!N69+อุตรดิตถ์!N69+อุทัยธานี!N69</f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7166900</v>
      </c>
      <c r="M70" s="167">
        <f ca="1"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6164240</v>
      </c>
      <c r="N70" s="168">
        <f ca="1">กำแพงเพชร!N70+เชียงราย!N70+เชียงใหม่!N70+ตาก!N70+นครสวรรค์!N70+น่าน!N70+พะเยา!N70+พิจิตร!N70+พิษณุโลก!N70+เพชรบูรณ์!N70+แพร่!N70+แม่ฮ่องสอน!N70+ลำปาง!N70+ลำพูน!N70+สุโขทัย!N70+อุตรดิตถ์!N70+อุทัยธานี!N70</f>
        <v>4521583.18</v>
      </c>
      <c r="O70" s="168">
        <f ca="1">IF(L70&gt;0,N70*100/L70,0)</f>
        <v>63.089804238931755</v>
      </c>
      <c r="P70" s="168">
        <f ca="1">IF(M70&gt;0,N70*100/M70,0)</f>
        <v>73.351835424967234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1246700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5920200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f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3609474.24</v>
      </c>
      <c r="M74" s="50">
        <f ca="1">กำแพงเพชร!M74+เชียงราย!M74+เชียงใหม่!M74+ตาก!M74+นครสวรรค์!M74+น่าน!M74+พะเยา!M74+พิจิตร!M74+พิษณุโลก!M74+เพชรบูรณ์!M74+แพร่!M74+แม่ฮ่องสอน!M74+ลำปาง!M74+ลำพูน!M74+สุโขทัย!M74+อุตรดิตถ์!M74+อุทัยธานี!M74</f>
        <v>3609474.24</v>
      </c>
      <c r="N74" s="50">
        <f ca="1">กำแพงเพชร!N74+เชียงราย!N74+เชียงใหม่!N74+ตาก!N74+นครสวรรค์!N74+น่าน!N74+พะเยา!N74+พิจิตร!N74+พิษณุโลก!N74+เพชรบูรณ์!N74+แพร่!N74+แม่ฮ่องสอน!N74+ลำปาง!N74+ลำพูน!N74+สุโขทัย!N74+อุตรดิตถ์!N74+อุทัยธานี!N74</f>
        <v>3609474.24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กำแพงเพชร!J76+เชียงราย!J76+เชียงใหม่!J76+ตาก!J76+นครสวรรค์!J76+น่าน!J76+พะเยา!J76+พิจิตร!J76+พิษณุโลก!J76+เพชรบูรณ์!J76+แพร่!J76+แม่ฮ่องสอน!J76+ลำปาง!J76+ลำพูน!J76+สุโขทัย!J76+อุตรดิตถ์!J76+อุทัยธานี!J76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กำแพงเพชร!J77+เชียงราย!J77+เชียงใหม่!J77+ตาก!J77+นครสวรรค์!J77+น่าน!J77+พะเยา!J77+พิจิตร!J77+พิษณุโลก!J77+เพชรบูรณ์!J77+แพร่!J77+แม่ฮ่องสอน!J77+ลำปาง!J77+ลำพูน!J77+สุโขทัย!J77+อุตรดิตถ์!J77+อุทัยธานี!J77</f>
        <v>10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กำแพงเพชร!J78+เชียงราย!J78+เชียงใหม่!J78+ตาก!J78+นครสวรรค์!J78+น่าน!J78+พะเยา!J78+พิจิตร!J78+พิษณุโลก!J78+เพชรบูรณ์!J78+แพร่!J78+แม่ฮ่องสอน!J78+ลำปาง!J78+ลำพูน!J78+สุโขทัย!J78+อุตรดิตถ์!J78+อุทัยธานี!J78</f>
        <v>10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10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กำแพงเพชร!I80+เชียงราย!I80+เชียงใหม่!I80+ตาก!I80+นครสวรรค์!I80+น่าน!I80+พะเยา!I80+พิจิตร!I80+พิษณุโลก!I80+เพชรบูรณ์!I80+แพร่!I80+แม่ฮ่องสอน!I80+ลำปาง!I80+ลำพูน!I80+สุโขทัย!I80+อุตรดิตถ์!I80+อุทัยธานี!I80</f>
        <v>13</v>
      </c>
      <c r="J80" s="200">
        <f ca="1"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13</v>
      </c>
      <c r="K80" s="201">
        <f t="shared" ref="K80:K88" ca="1" si="46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กำแพงเพชร!I81+เชียงราย!I81+เชียงใหม่!I81+ตาก!I81+นครสวรรค์!I81+น่าน!I81+พะเยา!I81+พิจิตร!I81+พิษณุโลก!I81+เพชรบูรณ์!I81+แพร่!I81+แม่ฮ่องสอน!I81+ลำปาง!I81+ลำพูน!I81+สุโขทัย!I81+อุตรดิตถ์!I81+อุทัยธานี!I81</f>
        <v>646</v>
      </c>
      <c r="J81" s="200">
        <f ca="1"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646</v>
      </c>
      <c r="K81" s="201">
        <f t="shared" ca="1" si="46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กำแพงเพชร!I82+เชียงราย!I82+เชียงใหม่!I82+ตาก!I82+นครสวรรค์!I82+น่าน!I82+พะเยา!I82+พิจิตร!I82+พิษณุโลก!I82+เพชรบูรณ์!I82+แพร่!I82+แม่ฮ่องสอน!I82+ลำปาง!I82+ลำพูน!I82+สุโขทัย!I82+อุตรดิตถ์!I82+อุทัยธานี!I82</f>
        <v>4</v>
      </c>
      <c r="J82" s="203">
        <f ca="1"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4</v>
      </c>
      <c r="K82" s="163">
        <f t="shared" ca="1" si="46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155</v>
      </c>
      <c r="J83" s="203">
        <f ca="1"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155</v>
      </c>
      <c r="K83" s="163">
        <f t="shared" ca="1" si="46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กำแพงเพชร!I84+เชียงราย!I84+เชียงใหม่!I84+ตาก!I84+นครสวรรค์!I84+น่าน!I84+พะเยา!I84+พิจิตร!I84+พิษณุโลก!I84+เพชรบูรณ์!I84+แพร่!I84+แม่ฮ่องสอน!I84+ลำปาง!I84+ลำพูน!I84+สุโขทัย!I84+อุตรดิตถ์!I84+อุทัยธานี!I84</f>
        <v>3</v>
      </c>
      <c r="J84" s="188">
        <f ca="1">กำแพงเพชร!J84+เชียงราย!J84+เชียงใหม่!J84+ตาก!J84+นครสวรรค์!J84+น่าน!J84+พะเยา!J84+พิจิตร!J84+พิษณุโลก!J84+เพชรบูรณ์!J84+แพร่!J84+แม่ฮ่องสอน!J84+ลำปาง!J84+ลำพูน!J84+สุโขทัย!J84+อุตรดิตถ์!J84+อุทัยธานี!J84</f>
        <v>3</v>
      </c>
      <c r="K84" s="163">
        <f t="shared" ca="1" si="46"/>
        <v>100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กำแพงเพชร!I85+เชียงราย!I85+เชียงใหม่!I85+ตาก!I85+นครสวรรค์!I85+น่าน!I85+พะเยา!I85+พิจิตร!I85+พิษณุโลก!I85+เพชรบูรณ์!I85+แพร่!I85+แม่ฮ่องสอน!I85+ลำปาง!I85+ลำพูน!I85+สุโขทัย!I85+อุตรดิตถ์!I85+อุทัยธานี!I85</f>
        <v>150</v>
      </c>
      <c r="J85" s="188">
        <f ca="1"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150</v>
      </c>
      <c r="K85" s="163">
        <f t="shared" ca="1" si="46"/>
        <v>100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กำแพงเพชร!I86+เชียงราย!I86+เชียงใหม่!I86+ตาก!I86+นครสวรรค์!I86+น่าน!I86+พะเยา!I86+พิจิตร!I86+พิษณุโลก!I86+เพชรบูรณ์!I86+แพร่!I86+แม่ฮ่องสอน!I86+ลำปาง!I86+ลำพูน!I86+สุโขทัย!I86+อุตรดิตถ์!I86+อุทัยธานี!I86</f>
        <v>6</v>
      </c>
      <c r="J86" s="203">
        <f ca="1"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6</v>
      </c>
      <c r="K86" s="163">
        <f t="shared" ca="1" si="46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กำแพงเพชร!I87+เชียงราย!I87+เชียงใหม่!I87+ตาก!I87+นครสวรรค์!I87+น่าน!I87+พะเยา!I87+พิจิตร!I87+พิษณุโลก!I87+เพชรบูรณ์!I87+แพร่!I87+แม่ฮ่องสอน!I87+ลำปาง!I87+ลำพูน!I87+สุโขทัย!I87+อุตรดิตถ์!I87+อุทัยธานี!I87</f>
        <v>341</v>
      </c>
      <c r="J87" s="203">
        <f ca="1"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341</v>
      </c>
      <c r="K87" s="163">
        <f t="shared" ca="1" si="46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กำแพงเพชร!I88+เชียงราย!I88+เชียงใหม่!I88+ตาก!I88+นครสวรรค์!I88+น่าน!I88+พะเยา!I88+พิจิตร!I88+พิษณุโลก!I88+เพชรบูรณ์!I88+แพร่!I88+แม่ฮ่องสอน!I88+ลำปาง!I88+ลำพูน!I88+สุโขทัย!I88+อุตรดิตถ์!I88+อุทัยธานี!I88</f>
        <v>13</v>
      </c>
      <c r="J88" s="203">
        <f ca="1"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2</v>
      </c>
      <c r="K88" s="163">
        <f t="shared" ca="1" si="46"/>
        <v>15.384615384615385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กำแพงเพชร!J90+เชียงราย!J90+เชียงใหม่!J90+ตาก!J90+นครสวรรค์!J90+น่าน!J90+พะเยา!J90+พิจิตร!J90+พิษณุโลก!J90+เพชรบูรณ์!J90+แพร่!J90+แม่ฮ่องสอน!J90+ลำปาง!J90+ลำพูน!J90+สุโขทัย!J90+อุตรดิตถ์!J90+อุทัยธานี!J90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กำแพงเพชร!I92+เชียงราย!I92+เชียงใหม่!I92+ตาก!I92+นครสวรรค์!I92+น่าน!I92+พะเยา!I92+พิจิตร!I92+พิษณุโลก!I92+เพชรบูรณ์!I92+แพร่!I92+แม่ฮ่องสอน!I92+ลำปาง!I92+ลำพูน!I92+สุโขทัย!I92+อุตรดิตถ์!I92+อุทัยธานี!I92</f>
        <v>49</v>
      </c>
      <c r="J92" s="142">
        <f ca="1">กำแพงเพชร!J92+เชียงราย!J92+เชียงใหม่!J92+ตาก!J92+นครสวรรค์!J92+น่าน!J92+พะเยา!J92+พิจิตร!J92+พิษณุโลก!J92+เพชรบูรณ์!J92+แพร่!J92+แม่ฮ่องสอน!J92+ลำปาง!J92+ลำพูน!J92+สุโขทัย!J92+อุตรดิตถ์!J92+อุทัยธานี!J92</f>
        <v>45</v>
      </c>
      <c r="K92" s="143">
        <f t="shared" ref="K92:K93" ca="1" si="47">IF(I92&gt;0,J92*100/I92,0)</f>
        <v>91.836734693877546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กำแพงเพชร!I93+เชียงราย!I93+เชียงใหม่!I93+ตาก!I93+นครสวรรค์!I93+น่าน!I93+พะเยา!I93+พิจิตร!I93+พิษณุโลก!I93+เพชรบูรณ์!I93+แพร่!I93+แม่ฮ่องสอน!I93+ลำปาง!I93+ลำพูน!I93+สุโขทัย!I93+อุตรดิตถ์!I93+อุทัยธานี!I93</f>
        <v>13</v>
      </c>
      <c r="J93" s="142">
        <f ca="1">กำแพงเพชร!J93+เชียงราย!J93+เชียงใหม่!J93+ตาก!J93+นครสวรรค์!J93+น่าน!J93+พะเยา!J93+พิจิตร!J93+พิษณุโลก!J93+เพชรบูรณ์!J93+แพร่!J93+แม่ฮ่องสอน!J93+ลำปาง!J93+ลำพูน!J93+สุโขทัย!J93+อุตรดิตถ์!J93+อุทัยธานี!J93</f>
        <v>13</v>
      </c>
      <c r="K93" s="143">
        <f t="shared" ca="1" si="47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ca="1">กำแพงเพชร!L94+เชียงราย!L94+เชียงใหม่!L94+ตาก!L94+นครสวรรค์!L94+น่าน!L94+พะเยา!L94+พิจิตร!L94+พิษณุโลก!L94+เพชรบูรณ์!L94+แพร่!L94+แม่ฮ่องสอน!L94+ลำปาง!L94+ลำพูน!L94+สุโขทัย!L94+อุตรดิตถ์!L94+อุทัยธานี!L94</f>
        <v>2455575</v>
      </c>
      <c r="M94" s="152">
        <f ca="1">กำแพงเพชร!M94+เชียงราย!M94+เชียงใหม่!M94+ตาก!M94+นครสวรรค์!M94+น่าน!M94+พะเยา!M94+พิจิตร!M94+พิษณุโลก!M94+เพชรบูรณ์!M94+แพร่!M94+แม่ฮ่องสอน!M94+ลำปาง!M94+ลำพูน!M94+สุโขทัย!M94+อุตรดิตถ์!M94+อุทัยธานี!M94</f>
        <v>2255125</v>
      </c>
      <c r="N94" s="152">
        <f ca="1">กำแพงเพชร!N94+เชียงราย!N94+เชียงใหม่!N94+ตาก!N94+นครสวรรค์!N94+น่าน!N94+พะเยา!N94+พิจิตร!N94+พิษณุโลก!N94+เพชรบูรณ์!N94+แพร่!N94+แม่ฮ่องสอน!N94+ลำปาง!N94+ลำพูน!N94+สุโขทัย!N94+อุตรดิตถ์!N94+อุทัยธานี!N94</f>
        <v>1751927.5</v>
      </c>
      <c r="O94" s="151">
        <f t="shared" ref="O94:O96" ca="1" si="48">IF(L94&gt;0,N94*100/L94,0)</f>
        <v>71.344898852610896</v>
      </c>
      <c r="P94" s="151">
        <f t="shared" ref="P94:P96" ca="1" si="49">IF(M94&gt;0,N94*100/M94,0)</f>
        <v>77.686491879607559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>กำแพงเพชร!L95+เชียงราย!L95+เชียงใหม่!L95+ตาก!L95+นครสวรรค์!L95+น่าน!L95+พะเยา!L95+พิจิตร!L95+พิษณุโลก!L95+เพชรบูรณ์!L95+แพร่!L95+แม่ฮ่องสอน!L95+ลำปาง!L95+ลำพูน!L95+สุโขทัย!L95+อุตรดิตถ์!L95+อุทัยธานี!L95</f>
        <v>0</v>
      </c>
      <c r="M95" s="88">
        <f>กำแพงเพชร!M95+เชียงราย!M95+เชียงใหม่!M95+ตาก!M95+นครสวรรค์!M95+น่าน!M95+พะเยา!M95+พิจิตร!M95+พิษณุโลก!M95+เพชรบูรณ์!M95+แพร่!M95+แม่ฮ่องสอน!M95+ลำปาง!M95+ลำพูน!M95+สุโขทัย!M95+อุตรดิตถ์!M95+อุทัยธานี!M95</f>
        <v>0</v>
      </c>
      <c r="N95" s="88">
        <f>กำแพงเพชร!N95+เชียงราย!N95+เชียงใหม่!N95+ตาก!N95+นครสวรรค์!N95+น่าน!N95+พะเยา!N95+พิจิตร!N95+พิษณุโลก!N95+เพชรบูรณ์!N95+แพร่!N95+แม่ฮ่องสอน!N95+ลำปาง!N95+ลำพูน!N95+สุโขทัย!N95+อุตรดิตถ์!N95+อุทัย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ca="1">กำแพงเพชร!L96+เชียงราย!L96+เชียงใหม่!L96+ตาก!L96+นครสวรรค์!L96+น่าน!L96+พะเยา!L96+พิจิตร!L96+พิษณุโลก!L96+เพชรบูรณ์!L96+แพร่!L96+แม่ฮ่องสอน!L96+ลำปาง!L96+ลำพูน!L96+สุโขทัย!L96+อุตรดิตถ์!L96+อุทัยธานี!L96</f>
        <v>2455575</v>
      </c>
      <c r="M96" s="88">
        <f ca="1">กำแพงเพชร!M96+เชียงราย!M96+เชียงใหม่!M96+ตาก!M96+นครสวรรค์!M96+น่าน!M96+พะเยา!M96+พิจิตร!M96+พิษณุโลก!M96+เพชรบูรณ์!M96+แพร่!M96+แม่ฮ่องสอน!M96+ลำปาง!M96+ลำพูน!M96+สุโขทัย!M96+อุตรดิตถ์!M96+อุทัยธานี!M96</f>
        <v>2255125</v>
      </c>
      <c r="N96" s="88">
        <f ca="1">กำแพงเพชร!N96+เชียงราย!N96+เชียงใหม่!N96+ตาก!N96+นครสวรรค์!N96+น่าน!N96+พะเยา!N96+พิจิตร!N96+พิษณุโลก!N96+เพชรบูรณ์!N96+แพร่!N96+แม่ฮ่องสอน!N96+ลำปาง!N96+ลำพูน!N96+สุโขทัย!N96+อุตรดิตถ์!N96+อุทัยธานี!N96</f>
        <v>1751927.5</v>
      </c>
      <c r="O96" s="156">
        <f t="shared" ca="1" si="48"/>
        <v>71.344898852610896</v>
      </c>
      <c r="P96" s="156">
        <f t="shared" ca="1" si="49"/>
        <v>77.686491879607559</v>
      </c>
    </row>
    <row r="97" spans="1:16" ht="21.75" customHeight="1" x14ac:dyDescent="0.45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ำแพงเพชร!L97+เชียงราย!L97+เชียงใหม่!L97+ตาก!L97+นครสวรรค์!L97+น่าน!L97+พะเยา!L97+พิจิตร!L97+พิษณุโลก!L97+เพชรบูรณ์!L97+แพร่!L97+แม่ฮ่องสอน!L97+ลำปาง!L97+ลำพูน!L97+สุโขทัย!L97+อุตรดิตถ์!L97+อุทัยธานี!L97</f>
        <v>0</v>
      </c>
      <c r="M97" s="164">
        <f>กำแพงเพชร!M97+เชียงราย!M97+เชียงใหม่!M97+ตาก!M97+นครสวรรค์!M97+น่าน!M97+พะเยา!M97+พิจิตร!M97+พิษณุโลก!M97+เพชรบูรณ์!M97+แพร่!M97+แม่ฮ่องสอน!M97+ลำปาง!M97+ลำพูน!M97+สุโขทัย!M97+อุตรดิตถ์!M97+อุทัยธานี!M97</f>
        <v>0</v>
      </c>
      <c r="N97" s="164">
        <f>กำแพงเพชร!N97+เชียงราย!N97+เชียงใหม่!N97+ตาก!N97+นครสวรรค์!N97+น่าน!N97+พะเยา!N97+พิจิตร!N97+พิษณุโลก!N97+เพชรบูรณ์!N97+แพร่!N97+แม่ฮ่องสอน!N97+ลำปาง!N97+ลำพูน!N97+สุโขทัย!N97+อุตรดิตถ์!N97+อุทัยธานี!N97</f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กำแพงเพชร!L98+เชียงราย!L98+เชียงใหม่!L98+ตาก!L98+นครสวรรค์!L98+น่าน!L98+พะเยา!L98+พิจิตร!L98+พิษณุโลก!L98+เพชรบูรณ์!L98+แพร่!L98+แม่ฮ่องสอน!L98+ลำปาง!L98+ลำพูน!L98+สุโขทัย!L98+อุตรดิตถ์!L98+อุทัยธานี!L98</f>
        <v>1257180</v>
      </c>
      <c r="M98" s="167">
        <f ca="1">กำแพงเพชร!M98+เชียงราย!M98+เชียงใหม่!M98+ตาก!M98+นครสวรรค์!M98+น่าน!M98+พะเยา!M98+พิจิตร!M98+พิษณุโลก!M98+เพชรบูรณ์!M98+แพร่!M98+แม่ฮ่องสอน!M98+ลำปาง!M98+ลำพูน!M98+สุโขทัย!M98+อุตรดิตถ์!M98+อุทัยธานี!M98</f>
        <v>1056730</v>
      </c>
      <c r="N98" s="168">
        <f ca="1">กำแพงเพชร!N98+เชียงราย!N98+เชียงใหม่!N98+ตาก!N98+นครสวรรค์!N98+น่าน!N98+พะเยา!N98+พิจิตร!N98+พิษณุโลก!N98+เพชรบูรณ์!N98+แพร่!N98+แม่ฮ่องสอน!N98+ลำปาง!N98+ลำพูน!N98+สุโขทัย!N98+อุตรดิตถ์!N98+อุทัยธานี!N98</f>
        <v>553532.5</v>
      </c>
      <c r="O98" s="168">
        <f ca="1">IF(L98&gt;0,N98*100/L98,0)</f>
        <v>44.029693440875612</v>
      </c>
      <c r="P98" s="168">
        <f ca="1">IF(M98&gt;0,N98*100/M98,0)</f>
        <v>52.381639586270857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กำแพงเพชร!L99+เชียงราย!L99+เชียงใหม่!L99+ตาก!L99+นครสวรรค์!L99+น่าน!L99+พะเยา!L99+พิจิตร!L99+พิษณุโลก!L99+เพชรบูรณ์!L99+แพร่!L99+แม่ฮ่องสอน!L99+ลำปาง!L99+ลำพูน!L99+สุโขทัย!L99+อุตรดิตถ์!L99+อุทัยธานี!L99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กำแพงเพชร!L100+เชียงราย!L100+เชียงใหม่!L100+ตาก!L100+นครสวรรค์!L100+น่าน!L100+พะเยา!L100+พิจิตร!L100+พิษณุโลก!L100+เพชรบูรณ์!L100+แพร่!L100+แม่ฮ่องสอน!L100+ลำปาง!L100+ลำพูน!L100+สุโขทัย!L100+อุตรดิตถ์!L100+อุทัยธานี!L100</f>
        <v>1257180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4"/>
      <c r="L101" s="42">
        <f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1198395</v>
      </c>
      <c r="M102" s="50">
        <f ca="1">กำแพงเพชร!M102+เชียงราย!M102+เชียงใหม่!M102+ตาก!M102+นครสวรรค์!M102+น่าน!M102+พะเยา!M102+พิจิตร!M102+พิษณุโลก!M102+เพชรบูรณ์!M102+แพร่!M102+แม่ฮ่องสอน!M102+ลำปาง!M102+ลำพูน!M102+สุโขทัย!M102+อุตรดิตถ์!M102+อุทัยธานี!M102</f>
        <v>1198395</v>
      </c>
      <c r="N102" s="50">
        <f ca="1">กำแพงเพชร!N102+เชียงราย!N102+เชียงใหม่!N102+ตาก!N102+นครสวรรค์!N102+น่าน!N102+พะเยา!N102+พิจิตร!N102+พิษณุโลก!N102+เพชรบูรณ์!N102+แพร่!N102+แม่ฮ่องสอน!N102+ลำปาง!N102+ลำพูน!N102+สุโขทัย!N102+อุตรดิตถ์!N102+อุทัยธานี!N102</f>
        <v>1198395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กำแพงเพชร!J104+เชียงราย!J104+เชียงใหม่!J104+ตาก!J104+นครสวรรค์!J104+น่าน!J104+พะเยา!J104+พิจิตร!J104+พิษณุโลก!J104+เพชรบูรณ์!J104+แพร่!J104+แม่ฮ่องสอน!J104+ลำปาง!J104+ลำพูน!J104+สุโขทัย!J104+อุตรดิตถ์!J104+อุทัยธานี!J104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กำแพงเพชร!J105+เชียงราย!J105+เชียงใหม่!J105+ตาก!J105+นครสวรรค์!J105+น่าน!J105+พะเยา!J105+พิจิตร!J105+พิษณุโลก!J105+เพชรบูรณ์!J105+แพร่!J105+แม่ฮ่องสอน!J105+ลำปาง!J105+ลำพูน!J105+สุโขทัย!J105+อุตรดิตถ์!J105+อุทัยธานี!J105</f>
        <v>10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10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10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กำแพงเพชร!I108+เชียงราย!I108+เชียงใหม่!I108+ตาก!I108+นครสวรรค์!I108+น่าน!I108+พะเยา!I108+พิจิตร!I108+พิษณุโลก!I108+เพชรบูรณ์!I108+แพร่!I108+แม่ฮ่องสอน!I108+ลำปาง!I108+ลำพูน!I108+สุโขทัย!I108+อุตรดิตถ์!I108+อุทัยธานี!I108</f>
        <v>10</v>
      </c>
      <c r="J108" s="203">
        <f ca="1"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10</v>
      </c>
      <c r="K108" s="224">
        <f t="shared" ref="K108:K113" ca="1" si="50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กำแพงเพชร!I109+เชียงราย!I109+เชียงใหม่!I109+ตาก!I109+นครสวรรค์!I109+น่าน!I109+พะเยา!I109+พิจิตร!I109+พิษณุโลก!I109+เพชรบูรณ์!I109+แพร่!I109+แม่ฮ่องสอน!I109+ลำปาง!I109+ลำพูน!I109+สุโขทัย!I109+อุตรดิตถ์!I109+อุทัยธานี!I109</f>
        <v>49</v>
      </c>
      <c r="J109" s="203">
        <f ca="1"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45</v>
      </c>
      <c r="K109" s="224">
        <f t="shared" ca="1" si="50"/>
        <v>91.836734693877546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49</v>
      </c>
      <c r="J110" s="203">
        <f ca="1"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49</v>
      </c>
      <c r="K110" s="224">
        <f t="shared" ca="1" si="50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49</v>
      </c>
      <c r="J111" s="203">
        <f ca="1"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45</v>
      </c>
      <c r="K111" s="224">
        <f t="shared" ca="1" si="50"/>
        <v>91.836734693877546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กำแพงเพชร!I112+เชียงราย!I112+เชียงใหม่!I112+ตาก!I112+นครสวรรค์!I112+น่าน!I112+พะเยา!I112+พิจิตร!I112+พิษณุโลก!I112+เพชรบูรณ์!I112+แพร่!I112+แม่ฮ่องสอน!I112+ลำปาง!I112+ลำพูน!I112+สุโขทัย!I112+อุตรดิตถ์!I112+อุทัยธานี!I112</f>
        <v>49</v>
      </c>
      <c r="J112" s="203">
        <f ca="1"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49</v>
      </c>
      <c r="K112" s="224">
        <f t="shared" ca="1" si="50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กำแพงเพชร!I113+เชียงราย!I113+เชียงใหม่!I113+ตาก!I113+นครสวรรค์!I113+น่าน!I113+พะเยา!I113+พิจิตร!I113+พิษณุโลก!I113+เพชรบูรณ์!I113+แพร่!I113+แม่ฮ่องสอน!I113+ลำปาง!I113+ลำพูน!I113+สุโขทัย!I113+อุตรดิตถ์!I113+อุทัยธานี!I113</f>
        <v>13</v>
      </c>
      <c r="J113" s="203">
        <f ca="1"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13</v>
      </c>
      <c r="K113" s="224">
        <f t="shared" ca="1" si="50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กำแพงเพชร!J115+เชียงราย!J115+เชียงใหม่!J115+ตาก!J115+นครสวรรค์!J115+น่าน!J115+พะเยา!J115+พิจิตร!J115+พิษณุโลก!J115+เพชรบูรณ์!J115+แพร่!J115+แม่ฮ่องสอน!J115+ลำปาง!J115+ลำพูน!J115+สุโขทัย!J115+อุตรดิตถ์!J115+อุทัยธานี!J115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กำแพงเพชร!I117+เชียงราย!I117+เชียงใหม่!I117+ตาก!I117+นครสวรรค์!I117+น่าน!I117+พะเยา!I117+พิจิตร!I117+พิษณุโลก!I117+เพชรบูรณ์!I117+แพร่!I117+แม่ฮ่องสอน!I117+ลำปาง!I117+ลำพูน!I117+สุโขทัย!I117+อุตรดิตถ์!I117+อุทัยธานี!I117</f>
        <v>200</v>
      </c>
      <c r="J117" s="142">
        <f ca="1">กำแพงเพชร!J117+เชียงราย!J117+เชียงใหม่!J117+ตาก!J117+นครสวรรค์!J117+น่าน!J117+พะเยา!J117+พิจิตร!J117+พิษณุโลก!J117+เพชรบูรณ์!J117+แพร่!J117+แม่ฮ่องสอน!J117+ลำปาง!J117+ลำพูน!J117+สุโขทัย!J117+อุตรดิตถ์!J117+อุทัยธานี!J117</f>
        <v>200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ca="1">กำแพงเพชร!L118+เชียงราย!L118+เชียงใหม่!L118+ตาก!L118+นครสวรรค์!L118+น่าน!L118+พะเยา!L118+พิจิตร!L118+พิษณุโลก!L118+เพชรบูรณ์!L118+แพร่!L118+แม่ฮ่องสอน!L118+ลำปาง!L118+ลำพูน!L118+สุโขทัย!L118+อุตรดิตถ์!L118+อุทัยธานี!L118</f>
        <v>824400</v>
      </c>
      <c r="M118" s="152">
        <f ca="1">กำแพงเพชร!M118+เชียงราย!M118+เชียงใหม่!M118+ตาก!M118+นครสวรรค์!M118+น่าน!M118+พะเยา!M118+พิจิตร!M118+พิษณุโลก!M118+เพชรบูรณ์!M118+แพร่!M118+แม่ฮ่องสอน!M118+ลำปาง!M118+ลำพูน!M118+สุโขทัย!M118+อุตรดิตถ์!M118+อุทัยธานี!M118</f>
        <v>944400</v>
      </c>
      <c r="N118" s="152">
        <f ca="1">กำแพงเพชร!N118+เชียงราย!N118+เชียงใหม่!N118+ตาก!N118+นครสวรรค์!N118+น่าน!N118+พะเยา!N118+พิจิตร!N118+พิษณุโลก!N118+เพชรบูรณ์!N118+แพร่!N118+แม่ฮ่องสอน!N118+ลำปาง!N118+ลำพูน!N118+สุโขทัย!N118+อุตรดิตถ์!N118+อุทัยธานี!N118</f>
        <v>724000.6</v>
      </c>
      <c r="O118" s="151">
        <f t="shared" ref="O118:O120" ca="1" si="51">IF(L118&gt;0,N118*100/L118,0)</f>
        <v>87.821518680252311</v>
      </c>
      <c r="P118" s="151">
        <f t="shared" ref="P118:P120" ca="1" si="52">IF(M118&gt;0,N118*100/M118,0)</f>
        <v>76.662494705633208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>กำแพงเพชร!L119+เชียงราย!L119+เชียงใหม่!L119+ตาก!L119+นครสวรรค์!L119+น่าน!L119+พะเยา!L119+พิจิตร!L119+พิษณุโลก!L119+เพชรบูรณ์!L119+แพร่!L119+แม่ฮ่องสอน!L119+ลำปาง!L119+ลำพูน!L119+สุโขทัย!L119+อุตรดิตถ์!L119+อุทัยธานี!L119</f>
        <v>0</v>
      </c>
      <c r="M119" s="88">
        <f>กำแพงเพชร!M119+เชียงราย!M119+เชียงใหม่!M119+ตาก!M119+นครสวรรค์!M119+น่าน!M119+พะเยา!M119+พิจิตร!M119+พิษณุโลก!M119+เพชรบูรณ์!M119+แพร่!M119+แม่ฮ่องสอน!M119+ลำปาง!M119+ลำพูน!M119+สุโขทัย!M119+อุตรดิตถ์!M119+อุทัยธานี!M119</f>
        <v>0</v>
      </c>
      <c r="N119" s="88">
        <f>กำแพงเพชร!N119+เชียงราย!N119+เชียงใหม่!N119+ตาก!N119+นครสวรรค์!N119+น่าน!N119+พะเยา!N119+พิจิตร!N119+พิษณุโลก!N119+เพชรบูรณ์!N119+แพร่!N119+แม่ฮ่องสอน!N119+ลำปาง!N119+ลำพูน!N119+สุโขทัย!N119+อุตรดิตถ์!N119+อุทัย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ca="1">กำแพงเพชร!L120+เชียงราย!L120+เชียงใหม่!L120+ตาก!L120+นครสวรรค์!L120+น่าน!L120+พะเยา!L120+พิจิตร!L120+พิษณุโลก!L120+เพชรบูรณ์!L120+แพร่!L120+แม่ฮ่องสอน!L120+ลำปาง!L120+ลำพูน!L120+สุโขทัย!L120+อุตรดิตถ์!L120+อุทัยธานี!L120</f>
        <v>824400</v>
      </c>
      <c r="M120" s="88">
        <f ca="1">กำแพงเพชร!M120+เชียงราย!M120+เชียงใหม่!M120+ตาก!M120+นครสวรรค์!M120+น่าน!M120+พะเยา!M120+พิจิตร!M120+พิษณุโลก!M120+เพชรบูรณ์!M120+แพร่!M120+แม่ฮ่องสอน!M120+ลำปาง!M120+ลำพูน!M120+สุโขทัย!M120+อุตรดิตถ์!M120+อุทัยธานี!M120</f>
        <v>944400</v>
      </c>
      <c r="N120" s="88">
        <f ca="1">กำแพงเพชร!N120+เชียงราย!N120+เชียงใหม่!N120+ตาก!N120+นครสวรรค์!N120+น่าน!N120+พะเยา!N120+พิจิตร!N120+พิษณุโลก!N120+เพชรบูรณ์!N120+แพร่!N120+แม่ฮ่องสอน!N120+ลำปาง!N120+ลำพูน!N120+สุโขทัย!N120+อุตรดิตถ์!N120+อุทัยธานี!N120</f>
        <v>724000.6</v>
      </c>
      <c r="O120" s="156">
        <f t="shared" ca="1" si="51"/>
        <v>87.821518680252311</v>
      </c>
      <c r="P120" s="156">
        <f t="shared" ca="1" si="52"/>
        <v>76.662494705633208</v>
      </c>
    </row>
    <row r="121" spans="1:16" ht="21.75" customHeight="1" x14ac:dyDescent="0.45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ำแพงเพชร!L121+เชียงราย!L121+เชียงใหม่!L121+ตาก!L121+นครสวรรค์!L121+น่าน!L121+พะเยา!L121+พิจิตร!L121+พิษณุโลก!L121+เพชรบูรณ์!L121+แพร่!L121+แม่ฮ่องสอน!L121+ลำปาง!L121+ลำพูน!L121+สุโขทัย!L121+อุตรดิตถ์!L121+อุทัยธานี!L121</f>
        <v>0</v>
      </c>
      <c r="M121" s="164">
        <f>กำแพงเพชร!M121+เชียงราย!M121+เชียงใหม่!M121+ตาก!M121+นครสวรรค์!M121+น่าน!M121+พะเยา!M121+พิจิตร!M121+พิษณุโลก!M121+เพชรบูรณ์!M121+แพร่!M121+แม่ฮ่องสอน!M121+ลำปาง!M121+ลำพูน!M121+สุโขทัย!M121+อุตรดิตถ์!M121+อุทัยธานี!M121</f>
        <v>0</v>
      </c>
      <c r="N121" s="164">
        <f>กำแพงเพชร!N121+เชียงราย!N121+เชียงใหม่!N121+ตาก!N121+นครสวรรค์!N121+น่าน!N121+พะเยา!N121+พิจิตร!N121+พิษณุโลก!N121+เพชรบูรณ์!N121+แพร่!N121+แม่ฮ่องสอน!N121+ลำปาง!N121+ลำพูน!N121+สุโขทัย!N121+อุตรดิตถ์!N121+อุทัยธานี!N121</f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กำแพงเพชร!L122+เชียงราย!L122+เชียงใหม่!L122+ตาก!L122+นครสวรรค์!L122+น่าน!L122+พะเยา!L122+พิจิตร!L122+พิษณุโลก!L122+เพชรบูรณ์!L122+แพร่!L122+แม่ฮ่องสอน!L122+ลำปาง!L122+ลำพูน!L122+สุโขทัย!L122+อุตรดิตถ์!L122+อุทัยธานี!L122</f>
        <v>824400</v>
      </c>
      <c r="M122" s="167">
        <f ca="1">กำแพงเพชร!M122+เชียงราย!M122+เชียงใหม่!M122+ตาก!M122+นครสวรรค์!M122+น่าน!M122+พะเยา!M122+พิจิตร!M122+พิษณุโลก!M122+เพชรบูรณ์!M122+แพร่!M122+แม่ฮ่องสอน!M122+ลำปาง!M122+ลำพูน!M122+สุโขทัย!M122+อุตรดิตถ์!M122+อุทัยธานี!M122</f>
        <v>944400</v>
      </c>
      <c r="N122" s="168">
        <f ca="1">กำแพงเพชร!N122+เชียงราย!N122+เชียงใหม่!N122+ตาก!N122+นครสวรรค์!N122+น่าน!N122+พะเยา!N122+พิจิตร!N122+พิษณุโลก!N122+เพชรบูรณ์!N122+แพร่!N122+แม่ฮ่องสอน!N122+ลำปาง!N122+ลำพูน!N122+สุโขทัย!N122+อุตรดิตถ์!N122+อุทัยธานี!N122</f>
        <v>724000.6</v>
      </c>
      <c r="O122" s="168">
        <f ca="1">IF(L122&gt;0,N122*100/L122,0)</f>
        <v>87.821518680252311</v>
      </c>
      <c r="P122" s="168">
        <f ca="1">IF(M122&gt;0,N122*100/M122,0)</f>
        <v>76.662494705633208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กำแพงเพชร!L123+เชียงราย!L123+เชียงใหม่!L123+ตาก!L123+นครสวรรค์!L123+น่าน!L123+พะเยา!L123+พิจิตร!L123+พิษณุโลก!L123+เพชรบูรณ์!L123+แพร่!L123+แม่ฮ่องสอน!L123+ลำปาง!L123+ลำพูน!L123+สุโขทัย!L123+อุตรดิตถ์!L123+อุทัยธานี!L123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กำแพงเพชร!L124+เชียงราย!L124+เชียงใหม่!L124+ตาก!L124+นครสวรรค์!L124+น่าน!L124+พะเยา!L124+พิจิตร!L124+พิษณุโลก!L124+เพชรบูรณ์!L124+แพร่!L124+แม่ฮ่องสอน!L124+ลำปาง!L124+ลำพูน!L124+สุโขทัย!L124+อุตรดิตถ์!L124+อุทัยธานี!L124</f>
        <v>824400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4"/>
      <c r="L125" s="42">
        <f>กำแพงเพชร!L125+เชียงราย!L125+เชียงใหม่!L125+ตาก!L125+นครสวรรค์!L125+น่าน!L125+พะเยา!L125+พิจิตร!L125+พิษณุโลก!L125+เพชรบูรณ์!L125+แพร่!L125+แม่ฮ่องสอน!L125+ลำปาง!L125+ลำพูน!L125+สุโขทัย!L125+อุตรดิตถ์!L125+อุทัยธานี!L125</f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กำแพงเพชร!L126+เชียงราย!L126+เชียงใหม่!L126+ตาก!L126+นครสวรรค์!L126+น่าน!L126+พะเยา!L126+พิจิตร!L126+พิษณุโลก!L126+เพชรบูรณ์!L126+แพร่!L126+แม่ฮ่องสอน!L126+ลำปาง!L126+ลำพูน!L126+สุโขทัย!L126+อุตรดิตถ์!L126+อุทัยธานี!L126</f>
        <v>0</v>
      </c>
      <c r="M126" s="50"/>
      <c r="N126" s="50">
        <f ca="1">กำแพงเพชร!N126+เชียงราย!N126+เชียงใหม่!N126+ตาก!N126+นครสวรรค์!N126+น่าน!N126+พะเยา!N126+พิจิตร!N126+พิษณุโลก!N126+เพชรบูรณ์!N126+แพร่!N126+แม่ฮ่องสอน!N126+ลำปาง!N126+ลำพูน!N126+สุโขทัย!N126+อุตรดิตถ์!N126+อุทัยธานี!N126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68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10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กำแพงเพชร!J130+เชียงราย!J130+เชียงใหม่!J130+ตาก!J130+นครสวรรค์!J130+น่าน!J130+พะเยา!J130+พิจิตร!J130+พิษณุโลก!J130+เพชรบูรณ์!J130+แพร่!J130+แม่ฮ่องสอน!J130+ลำปาง!J130+ลำพูน!J130+สุโขทัย!J130+อุตรดิตถ์!J130+อุทัยธานี!J130</f>
        <v>10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กำแพงเพชร!J131+เชียงราย!J131+เชียงใหม่!J131+ตาก!J131+นครสวรรค์!J131+น่าน!J131+พะเยา!J131+พิจิตร!J131+พิษณุโลก!J131+เพชรบูรณ์!J131+แพร่!J131+แม่ฮ่องสอน!J131+ลำปาง!J131+ลำพูน!J131+สุโขทัย!J131+อุตรดิตถ์!J131+อุทัยธานี!J131</f>
        <v>9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กำแพงเพชร!I132+เชียงราย!I132+เชียงใหม่!I132+ตาก!I132+นครสวรรค์!I132+น่าน!I132+พะเยา!I132+พิจิตร!I132+พิษณุโลก!I132+เพชรบูรณ์!I132+แพร่!I132+แม่ฮ่องสอน!I132+ลำปาง!I132+ลำพูน!I132+สุโขทัย!I132+อุตรดิตถ์!I132+อุทัยธานี!I132</f>
        <v>200</v>
      </c>
      <c r="J132" s="203">
        <f ca="1">กำแพงเพชร!J132+เชียงราย!J132+เชียงใหม่!J132+ตาก!J132+นครสวรรค์!J132+น่าน!J132+พะเยา!J132+พิจิตร!J132+พิษณุโลก!J132+เพชรบูรณ์!J132+แพร่!J132+แม่ฮ่องสอน!J132+ลำปาง!J132+ลำพูน!J132+สุโขทัย!J132+อุตรดิตถ์!J132+อุทัยธานี!J132</f>
        <v>200</v>
      </c>
      <c r="K132" s="224">
        <f t="shared" ref="K132:K133" ca="1" si="5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กำแพงเพชร!I133+เชียงราย!I133+เชียงใหม่!I133+ตาก!I133+นครสวรรค์!I133+น่าน!I133+พะเยา!I133+พิจิตร!I133+พิษณุโลก!I133+เพชรบูรณ์!I133+แพร่!I133+แม่ฮ่องสอน!I133+ลำปาง!I133+ลำพูน!I133+สุโขทัย!I133+อุตรดิตถ์!I133+อุทัยธานี!I133</f>
        <v>200</v>
      </c>
      <c r="J133" s="203">
        <f ca="1">กำแพงเพชร!J133+เชียงราย!J133+เชียงใหม่!J133+ตาก!J133+นครสวรรค์!J133+น่าน!J133+พะเยา!J133+พิจิตร!J133+พิษณุโลก!J133+เพชรบูรณ์!J133+แพร่!J133+แม่ฮ่องสอน!J133+ลำปาง!J133+ลำพูน!J133+สุโขทัย!J133+อุตรดิตถ์!J133+อุทัยธานี!J133</f>
        <v>210</v>
      </c>
      <c r="K133" s="224">
        <f t="shared" ca="1" si="53"/>
        <v>105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440</v>
      </c>
      <c r="J138" s="267">
        <f ca="1"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440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ca="1">กำแพงเพชร!L140+เชียงราย!L140+เชียงใหม่!L140+ตาก!L140+นครสวรรค์!L140+น่าน!L140+พะเยา!L140+พิจิตร!L140+พิษณุโลก!L140+เพชรบูรณ์!L140+แพร่!L140+แม่ฮ่องสอน!L140+ลำปาง!L140+ลำพูน!L140+สุโขทัย!L140+อุตรดิตถ์!L140+อุทัยธานี!L140</f>
        <v>5884000</v>
      </c>
      <c r="M140" s="152">
        <f ca="1">กำแพงเพชร!M140+เชียงราย!M140+เชียงใหม่!M140+ตาก!M140+นครสวรรค์!M140+น่าน!M140+พะเยา!M140+พิจิตร!M140+พิษณุโลก!M140+เพชรบูรณ์!M140+แพร่!M140+แม่ฮ่องสอน!M140+ลำปาง!M140+ลำพูน!M140+สุโขทัย!M140+อุตรดิตถ์!M140+อุทัยธานี!M140</f>
        <v>5607880</v>
      </c>
      <c r="N140" s="152">
        <f ca="1">กำแพงเพชร!N140+เชียงราย!N140+เชียงใหม่!N140+ตาก!N140+นครสวรรค์!N140+น่าน!N140+พะเยา!N140+พิจิตร!N140+พิษณุโลก!N140+เพชรบูรณ์!N140+แพร่!N140+แม่ฮ่องสอน!N140+ลำปาง!N140+ลำพูน!N140+สุโขทัย!N140+อุตรดิตถ์!N140+อุทัยธานี!N140</f>
        <v>3871081.4999999995</v>
      </c>
      <c r="O140" s="151">
        <f t="shared" ref="O140:O142" ca="1" si="54">IF(L140&gt;0,N140*100/L140,0)</f>
        <v>65.789964309993195</v>
      </c>
      <c r="P140" s="151">
        <f t="shared" ref="P140:P142" ca="1" si="55">IF(M140&gt;0,N140*100/M140,0)</f>
        <v>69.029321240825396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>กำแพงเพชร!L141+เชียงราย!L141+เชียงใหม่!L141+ตาก!L141+นครสวรรค์!L141+น่าน!L141+พะเยา!L141+พิจิตร!L141+พิษณุโลก!L141+เพชรบูรณ์!L141+แพร่!L141+แม่ฮ่องสอน!L141+ลำปาง!L141+ลำพูน!L141+สุโขทัย!L141+อุตรดิตถ์!L141+อุทัยธานี!L141</f>
        <v>0</v>
      </c>
      <c r="M141" s="88">
        <f>กำแพงเพชร!M141+เชียงราย!M141+เชียงใหม่!M141+ตาก!M141+นครสวรรค์!M141+น่าน!M141+พะเยา!M141+พิจิตร!M141+พิษณุโลก!M141+เพชรบูรณ์!M141+แพร่!M141+แม่ฮ่องสอน!M141+ลำปาง!M141+ลำพูน!M141+สุโขทัย!M141+อุตรดิตถ์!M141+อุทัยธานี!M141</f>
        <v>0</v>
      </c>
      <c r="N141" s="88">
        <f>กำแพงเพชร!N141+เชียงราย!N141+เชียงใหม่!N141+ตาก!N141+นครสวรรค์!N141+น่าน!N141+พะเยา!N141+พิจิตร!N141+พิษณุโลก!N141+เพชรบูรณ์!N141+แพร่!N141+แม่ฮ่องสอน!N141+ลำปาง!N141+ลำพูน!N141+สุโขทัย!N141+อุตรดิตถ์!N141+อุทัย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ca="1">กำแพงเพชร!L142+เชียงราย!L142+เชียงใหม่!L142+ตาก!L142+นครสวรรค์!L142+น่าน!L142+พะเยา!L142+พิจิตร!L142+พิษณุโลก!L142+เพชรบูรณ์!L142+แพร่!L142+แม่ฮ่องสอน!L142+ลำปาง!L142+ลำพูน!L142+สุโขทัย!L142+อุตรดิตถ์!L142+อุทัยธานี!L142</f>
        <v>5884000</v>
      </c>
      <c r="M142" s="88">
        <f ca="1">กำแพงเพชร!M142+เชียงราย!M142+เชียงใหม่!M142+ตาก!M142+นครสวรรค์!M142+น่าน!M142+พะเยา!M142+พิจิตร!M142+พิษณุโลก!M142+เพชรบูรณ์!M142+แพร่!M142+แม่ฮ่องสอน!M142+ลำปาง!M142+ลำพูน!M142+สุโขทัย!M142+อุตรดิตถ์!M142+อุทัยธานี!M142</f>
        <v>5607880</v>
      </c>
      <c r="N142" s="88">
        <f ca="1">กำแพงเพชร!N142+เชียงราย!N142+เชียงใหม่!N142+ตาก!N142+นครสวรรค์!N142+น่าน!N142+พะเยา!N142+พิจิตร!N142+พิษณุโลก!N142+เพชรบูรณ์!N142+แพร่!N142+แม่ฮ่องสอน!N142+ลำปาง!N142+ลำพูน!N142+สุโขทัย!N142+อุตรดิตถ์!N142+อุทัยธานี!N142</f>
        <v>3871081.4999999995</v>
      </c>
      <c r="O142" s="156">
        <f t="shared" ca="1" si="54"/>
        <v>65.789964309993195</v>
      </c>
      <c r="P142" s="156">
        <f t="shared" ca="1" si="55"/>
        <v>69.029321240825396</v>
      </c>
    </row>
    <row r="143" spans="1:16" ht="21.75" customHeight="1" x14ac:dyDescent="0.45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ำแพงเพชร!L143+เชียงราย!L143+เชียงใหม่!L143+ตาก!L143+นครสวรรค์!L143+น่าน!L143+พะเยา!L143+พิจิตร!L143+พิษณุโลก!L143+เพชรบูรณ์!L143+แพร่!L143+แม่ฮ่องสอน!L143+ลำปาง!L143+ลำพูน!L143+สุโขทัย!L143+อุตรดิตถ์!L143+อุทัยธานี!L143</f>
        <v>0</v>
      </c>
      <c r="M143" s="164">
        <f>กำแพงเพชร!M143+เชียงราย!M143+เชียงใหม่!M143+ตาก!M143+นครสวรรค์!M143+น่าน!M143+พะเยา!M143+พิจิตร!M143+พิษณุโลก!M143+เพชรบูรณ์!M143+แพร่!M143+แม่ฮ่องสอน!M143+ลำปาง!M143+ลำพูน!M143+สุโขทัย!M143+อุตรดิตถ์!M143+อุทัยธานี!M143</f>
        <v>0</v>
      </c>
      <c r="N143" s="164">
        <f>กำแพงเพชร!N143+เชียงราย!N143+เชียงใหม่!N143+ตาก!N143+นครสวรรค์!N143+น่าน!N143+พะเยา!N143+พิจิตร!N143+พิษณุโลก!N143+เพชรบูรณ์!N143+แพร่!N143+แม่ฮ่องสอน!N143+ลำปาง!N143+ลำพูน!N143+สุโขทัย!N143+อุตรดิตถ์!N143+อุทัยธานี!N143</f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5646000</v>
      </c>
      <c r="M144" s="167">
        <f ca="1"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5369880</v>
      </c>
      <c r="N144" s="168">
        <f ca="1">กำแพงเพชร!N144+เชียงราย!N144+เชียงใหม่!N144+ตาก!N144+นครสวรรค์!N144+น่าน!N144+พะเยา!N144+พิจิตร!N144+พิษณุโลก!N144+เพชรบูรณ์!N144+แพร่!N144+แม่ฮ่องสอน!N144+ลำปาง!N144+ลำพูน!N144+สุโขทัย!N144+อุตรดิตถ์!N144+อุทัยธานี!N144</f>
        <v>3633081.4999999995</v>
      </c>
      <c r="O144" s="168">
        <f ca="1">IF(L144&gt;0,N144*100/L144,0)</f>
        <v>64.347883457314907</v>
      </c>
      <c r="P144" s="168">
        <f ca="1">IF(M144&gt;0,N144*100/M144,0)</f>
        <v>67.656660856480954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2232800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3413200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4"/>
      <c r="L147" s="42">
        <f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238000</v>
      </c>
      <c r="M148" s="50">
        <f ca="1">กำแพงเพชร!M148+เชียงราย!M148+เชียงใหม่!M148+ตาก!M148+นครสวรรค์!M148+น่าน!M148+พะเยา!M148+พิจิตร!M148+พิษณุโลก!M148+เพชรบูรณ์!M148+แพร่!M148+แม่ฮ่องสอน!M148+ลำปาง!M148+ลำพูน!M148+สุโขทัย!M148+อุตรดิตถ์!M148+อุทัยธานี!M148</f>
        <v>238000</v>
      </c>
      <c r="N148" s="50">
        <f ca="1">กำแพงเพชร!N148+เชียงราย!N148+เชียงใหม่!N148+ตาก!N148+นครสวรรค์!N148+น่าน!N148+พะเยา!N148+พิจิตร!N148+พิษณุโลก!N148+เพชรบูรณ์!N148+แพร่!N148+แม่ฮ่องสอน!N148+ลำปาง!N148+ลำพูน!N148+สุโขทัย!N148+อุตรดิตถ์!N148+อุทัยธานี!N148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68</v>
      </c>
      <c r="J149" s="275">
        <f ca="1"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40</v>
      </c>
      <c r="K149" s="276">
        <f ca="1">IF(I149&gt;0,J149*100/I149,0)</f>
        <v>58.823529411764703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17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14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16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68</v>
      </c>
      <c r="J158" s="188">
        <f ca="1"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40</v>
      </c>
      <c r="K158" s="163">
        <f ca="1">IF(I158&gt;0,J158*100/I158,0)</f>
        <v>58.823529411764703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กำแพงเพชร!J159+เชียงราย!J159+เชียงใหม่!J159+ตาก!J159+นครสวรรค์!J159+น่าน!J159+พะเยา!J159+พิจิตร!J159+พิษณุโลก!J159+เพชรบูรณ์!J159+แพร่!J159+แม่ฮ่องสอน!J159+ลำปาง!J159+ลำพูน!J159+สุโขทัย!J159+อุตรดิตถ์!J159+อุทัยธานี!J159</f>
        <v>1499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1497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52</v>
      </c>
      <c r="J164" s="284">
        <f ca="1"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50</v>
      </c>
      <c r="K164" s="285">
        <f ca="1">IF(I164&gt;0,J164*100/I164,0)</f>
        <v>96.15384615384616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กำแพงเพชร!J170+เชียงราย!J170+เชียงใหม่!J170+ตาก!J170+นครสวรรค์!J170+น่าน!J170+พะเยา!J170+พิจิตร!J170+พิษณุโลก!J170+เพชรบูรณ์!J170+แพร่!J170+แม่ฮ่องสอน!J170+ลำปาง!J170+ลำพูน!J170+สุโขทัย!J170+อุตรดิตถ์!J170+อุทัยธานี!J170</f>
        <v>15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กำแพงเพชร!J171+เชียงราย!J171+เชียงใหม่!J171+ตาก!J171+นครสวรรค์!J171+น่าน!J171+พะเยา!J171+พิจิตร!J171+พิษณุโลก!J171+เพชรบูรณ์!J171+แพร่!J171+แม่ฮ่องสอน!J171+ลำปาง!J171+ลำพูน!J171+สุโขทัย!J171+อุตรดิตถ์!J171+อุทัยธานี!J171</f>
        <v>13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กำแพงเพชร!J172+เชียงราย!J172+เชียงใหม่!J172+ตาก!J172+นครสวรรค์!J172+น่าน!J172+พะเยา!J172+พิจิตร!J172+พิษณุโลก!J172+เพชรบูรณ์!J172+แพร่!J172+แม่ฮ่องสอน!J172+ลำปาง!J172+ลำพูน!J172+สุโขทัย!J172+อุตรดิตถ์!J172+อุทัยธานี!J172</f>
        <v>13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กำแพงเพชร!I173+เชียงราย!I173+เชียงใหม่!I173+ตาก!I173+นครสวรรค์!I173+น่าน!I173+พะเยา!I173+พิจิตร!I173+พิษณุโลก!I173+เพชรบูรณ์!I173+แพร่!I173+แม่ฮ่องสอน!I173+ลำปาง!I173+ลำพูน!I173+สุโขทัย!I173+อุตรดิตถ์!I173+อุทัยธานี!I173</f>
        <v>52</v>
      </c>
      <c r="J173" s="188">
        <f ca="1">กำแพงเพชร!J173+เชียงราย!J173+เชียงใหม่!J173+ตาก!J173+นครสวรรค์!J173+น่าน!J173+พะเยา!J173+พิจิตร!J173+พิษณุโลก!J173+เพชรบูรณ์!J173+แพร่!J173+แม่ฮ่องสอน!J173+ลำปาง!J173+ลำพูน!J173+สุโขทัย!J173+อุตรดิตถ์!J173+อุทัยธานี!J173</f>
        <v>50</v>
      </c>
      <c r="K173" s="163">
        <f ca="1">IF(I173&gt;0,J173*100/I173,0)</f>
        <v>96.15384615384616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กำแพงเพชร!J174+เชียงราย!J174+เชียงใหม่!J174+ตาก!J174+นครสวรรค์!J174+น่าน!J174+พะเยา!J174+พิจิตร!J174+พิษณุโลก!J174+เพชรบูรณ์!J174+แพร่!J174+แม่ฮ่องสอน!J174+ลำปาง!J174+ลำพูน!J174+สุโขทัย!J174+อุตรดิตถ์!J174+อุทัยธานี!J174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2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กำแพงเพชร!I176+เชียงราย!I176+เชียงใหม่!I176+ตาก!I176+นครสวรรค์!I176+น่าน!I176+พะเยา!I176+พิจิตร!I176+พิษณุโลก!I176+เพชรบูรณ์!I176+แพร่!I176+แม่ฮ่องสอน!I176+ลำปาง!I176+ลำพูน!I176+สุโขทัย!I176+อุตรดิตถ์!I176+อุทัยธานี!I176</f>
        <v>4</v>
      </c>
      <c r="J176" s="284">
        <f ca="1"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3</v>
      </c>
      <c r="K176" s="285">
        <f ca="1">IF(I176&gt;0,J176*100/I176,0)</f>
        <v>75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2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1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1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4</v>
      </c>
      <c r="J185" s="203">
        <f ca="1"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3</v>
      </c>
      <c r="K185" s="224">
        <f t="shared" ref="K185:K186" ca="1" si="56">IF(I185&gt;0,J185*100/I185,0)</f>
        <v>75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กำแพงเพชร!I186+เชียงราย!I186+เชียงใหม่!I186+ตาก!I186+นครสวรรค์!I186+น่าน!I186+พะเยา!I186+พิจิตร!I186+พิษณุโลก!I186+เพชรบูรณ์!I186+แพร่!I186+แม่ฮ่องสอน!I186+ลำปาง!I186+ลำพูน!I186+สุโขทัย!I186+อุตรดิตถ์!I186+อุทัยธานี!I186</f>
        <v>4</v>
      </c>
      <c r="J186" s="203">
        <f ca="1">กำแพงเพชร!J186+เชียงราย!J186+เชียงใหม่!J186+ตาก!J186+นครสวรรค์!J186+น่าน!J186+พะเยา!J186+พิจิตร!J186+พิษณุโลก!J186+เพชรบูรณ์!J186+แพร่!J186+แม่ฮ่องสอน!J186+ลำปาง!J186+ลำพูน!J186+สุโขทัย!J186+อุตรดิตถ์!J186+อุทัยธานี!J186</f>
        <v>3</v>
      </c>
      <c r="K186" s="224">
        <f t="shared" ca="1" si="56"/>
        <v>75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กำแพงเพชร!J187+เชียงราย!J187+เชียงใหม่!J187+ตาก!J187+นครสวรรค์!J187+น่าน!J187+พะเยา!J187+พิจิตร!J187+พิษณุโลก!J187+เพชรบูรณ์!J187+แพร่!J187+แม่ฮ่องสอน!J187+ลำปาง!J187+ลำพูน!J187+สุโขทัย!J187+อุตรดิตถ์!J187+อุทัยธานี!J187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กำแพงเพชร!J188+เชียงราย!J188+เชียงใหม่!J188+ตาก!J188+นครสวรรค์!J188+น่าน!J188+พะเยา!J188+พิจิตร!J188+พิษณุโลก!J188+เพชรบูรณ์!J188+แพร่!J188+แม่ฮ่องสอน!J188+ลำปาง!J188+ลำพูน!J188+สุโขทัย!J188+อุตรดิตถ์!J188+อุทัยธานี!J188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กำแพงเพชร!I189+เชียงราย!I189+เชียงใหม่!I189+ตาก!I189+นครสวรรค์!I189+น่าน!I189+พะเยา!I189+พิจิตร!I189+พิษณุโลก!I189+เพชรบูรณ์!I189+แพร่!I189+แม่ฮ่องสอน!I189+ลำปาง!I189+ลำพูน!I189+สุโขทัย!I189+อุตรดิตถ์!I189+อุทัยธานี!I189</f>
        <v>1224000</v>
      </c>
      <c r="J189" s="284">
        <f ca="1">กำแพงเพชร!J189+เชียงราย!J189+เชียงใหม่!J189+ตาก!J189+นครสวรรค์!J189+น่าน!J189+พะเยา!J189+พิจิตร!J189+พิษณุโลก!J189+เพชรบูรณ์!J189+แพร่!J189+แม่ฮ่องสอน!J189+ลำปาง!J189+ลำพูน!J189+สุโขทัย!J189+อุตรดิตถ์!J189+อุทัยธานี!J189</f>
        <v>50000</v>
      </c>
      <c r="K189" s="285">
        <f ca="1">IF(I189&gt;0,J189*100/I189,0)</f>
        <v>4.0849673202614376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3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14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10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9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>
        <f>กำแพงเพชร!J198+เชียงราย!J198+เชียงใหม่!J198+ตาก!J198+นครสวรรค์!J198+น่าน!J198+พะเยา!J198+พิจิตร!J198+พิษณุโลก!J198+เพชรบูรณ์!J198+แพร่!J198+แม่ฮ่องสอน!J198+ลำปาง!J198+ลำพูน!J198+สุโขทัย!J198+อุตรดิตถ์!J198+อุทัยธานี!J198</f>
        <v>0</v>
      </c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1224000</v>
      </c>
      <c r="J199" s="188">
        <f ca="1"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694000</v>
      </c>
      <c r="K199" s="163">
        <f t="shared" ref="K199:K201" ca="1" si="57">IF(I199&gt;0,J199*100/I199,0)</f>
        <v>56.699346405228759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กำแพงเพชร!I200+เชียงราย!I200+เชียงใหม่!I200+ตาก!I200+นครสวรรค์!I200+น่าน!I200+พะเยา!I200+พิจิตร!I200+พิษณุโลก!I200+เพชรบูรณ์!I200+แพร่!I200+แม่ฮ่องสอน!I200+ลำปาง!I200+ลำพูน!I200+สุโขทัย!I200+อุตรดิตถ์!I200+อุทัยธานี!I200</f>
        <v>1224000</v>
      </c>
      <c r="J200" s="188">
        <f ca="1">กำแพงเพชร!J200+เชียงราย!J200+เชียงใหม่!J200+ตาก!J200+นครสวรรค์!J200+น่าน!J200+พะเยา!J200+พิจิตร!J200+พิษณุโลก!J200+เพชรบูรณ์!J200+แพร่!J200+แม่ฮ่องสอน!J200+ลำปาง!J200+ลำพูน!J200+สุโขทัย!J200+อุตรดิตถ์!J200+อุทัยธานี!J200</f>
        <v>50000</v>
      </c>
      <c r="K200" s="163">
        <f t="shared" ca="1" si="57"/>
        <v>4.0849673202614376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กำแพงเพชร!I201+เชียงราย!I201+เชียงใหม่!I201+ตาก!I201+นครสวรรค์!I201+น่าน!I201+พะเยา!I201+พิจิตร!I201+พิษณุโลก!I201+เพชรบูรณ์!I201+แพร่!I201+แม่ฮ่องสอน!I201+ลำปาง!I201+ลำพูน!I201+สุโขทัย!I201+อุตรดิตถ์!I201+อุทัยธานี!I201</f>
        <v>60</v>
      </c>
      <c r="J201" s="188">
        <f ca="1">กำแพงเพชร!J201+เชียงราย!J201+เชียงใหม่!J201+ตาก!J201+นครสวรรค์!J201+น่าน!J201+พะเยา!J201+พิจิตร!J201+พิษณุโลก!J201+เพชรบูรณ์!J201+แพร่!J201+แม่ฮ่องสอน!J201+ลำปาง!J201+ลำพูน!J201+สุโขทัย!J201+อุตรดิตถ์!J201+อุทัยธานี!J201</f>
        <v>60</v>
      </c>
      <c r="K201" s="163">
        <f t="shared" ca="1" si="57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กำแพงเพชร!J202+เชียงราย!J202+เชียงใหม่!J202+ตาก!J202+นครสวรรค์!J202+น่าน!J202+พะเยา!J202+พิจิตร!J202+พิษณุโลก!J202+เพชรบูรณ์!J202+แพร่!J202+แม่ฮ่องสอน!J202+ลำปาง!J202+ลำพูน!J202+สุโขทัย!J202+อุตรดิตถ์!J202+อุทัยธานี!J202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กำแพงเพชร!J203+เชียงราย!J203+เชียงใหม่!J203+ตาก!J203+นครสวรรค์!J203+น่าน!J203+พะเยา!J203+พิจิตร!J203+พิษณุโลก!J203+เพชรบูรณ์!J203+แพร่!J203+แม่ฮ่องสอน!J203+ลำปาง!J203+ลำพูน!J203+สุโขทัย!J203+อุตรดิตถ์!J203+อุทัยธานี!J203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กำแพงเพชร!I204+เชียงราย!I204+เชียงใหม่!I204+ตาก!I204+นครสวรรค์!I204+น่าน!I204+พะเยา!I204+พิจิตร!I204+พิษณุโลก!I204+เพชรบูรณ์!I204+แพร่!I204+แม่ฮ่องสอน!I204+ลำปาง!I204+ลำพูน!I204+สุโขทัย!I204+อุตรดิตถ์!I204+อุทัยธานี!I204</f>
        <v>380</v>
      </c>
      <c r="J204" s="284">
        <f ca="1">กำแพงเพชร!J204+เชียงราย!J204+เชียงใหม่!J204+ตาก!J204+นครสวรรค์!J204+น่าน!J204+พะเยา!J204+พิจิตร!J204+พิษณุโลก!J204+เพชรบูรณ์!J204+แพร่!J204+แม่ฮ่องสอน!J204+ลำปาง!J204+ลำพูน!J204+สุโขทัย!J204+อุตรดิตถ์!J204+อุทัยธานี!J204</f>
        <v>380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กำแพงเพชร!J210+เชียงราย!J210+เชียงใหม่!J210+ตาก!J210+นครสวรรค์!J210+น่าน!J210+พะเยา!J210+พิจิตร!J210+พิษณุโลก!J210+เพชรบูรณ์!J210+แพร่!J210+แม่ฮ่องสอน!J210+ลำปาง!J210+ลำพูน!J210+สุโขทัย!J210+อุตรดิตถ์!J210+อุทัยธานี!J210</f>
        <v>4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3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4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กำแพงเพชร!I213+เชียงราย!I213+เชียงใหม่!I213+ตาก!I213+นครสวรรค์!I213+น่าน!I213+พะเยา!I213+พิจิตร!I213+พิษณุโลก!I213+เพชรบูรณ์!I213+แพร่!I213+แม่ฮ่องสอน!I213+ลำปาง!I213+ลำพูน!I213+สุโขทัย!I213+อุตรดิตถ์!I213+อุทัยธานี!I213</f>
        <v>380</v>
      </c>
      <c r="J213" s="203">
        <f ca="1"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380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>
        <f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0</v>
      </c>
      <c r="J214" s="187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กำแพงเพชร!I215+เชียงราย!I215+เชียงใหม่!I215+ตาก!I215+นครสวรรค์!I215+น่าน!I215+พะเยา!I215+พิจิตร!I215+พิษณุโลก!I215+เพชรบูรณ์!I215+แพร่!I215+แม่ฮ่องสอน!I215+ลำปาง!I215+ลำพูน!I215+สุโขทัย!I215+อุตรดิตถ์!I215+อุทัยธานี!I215</f>
        <v>130</v>
      </c>
      <c r="J215" s="203">
        <f ca="1">กำแพงเพชร!J215+เชียงราย!J215+เชียงใหม่!J215+ตาก!J215+นครสวรรค์!J215+น่าน!J215+พะเยา!J215+พิจิตร!J215+พิษณุโลก!J215+เพชรบูรณ์!J215+แพร่!J215+แม่ฮ่องสอน!J215+ลำปาง!J215+ลำพูน!J215+สุโขทัย!J215+อุตรดิตถ์!J215+อุทัยธานี!J215</f>
        <v>0</v>
      </c>
      <c r="K215" s="224">
        <f t="shared" ref="K215:K216" ca="1" si="58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กำแพงเพชร!I216+เชียงราย!I216+เชียงใหม่!I216+ตาก!I216+นครสวรรค์!I216+น่าน!I216+พะเยา!I216+พิจิตร!I216+พิษณุโลก!I216+เพชรบูรณ์!I216+แพร่!I216+แม่ฮ่องสอน!I216+ลำปาง!I216+ลำพูน!I216+สุโขทัย!I216+อุตรดิตถ์!I216+อุทัยธานี!I216</f>
        <v>12</v>
      </c>
      <c r="J216" s="203">
        <f ca="1">กำแพงเพชร!J216+เชียงราย!J216+เชียงใหม่!J216+ตาก!J216+นครสวรรค์!J216+น่าน!J216+พะเยา!J216+พิจิตร!J216+พิษณุโลก!J216+เพชรบูรณ์!J216+แพร่!J216+แม่ฮ่องสอน!J216+ลำปาง!J216+ลำพูน!J216+สุโขทัย!J216+อุตรดิตถ์!J216+อุทัยธานี!J216</f>
        <v>0</v>
      </c>
      <c r="K216" s="224">
        <f t="shared" ca="1" si="58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กำแพงเพชร!J217+เชียงราย!J217+เชียงใหม่!J217+ตาก!J217+นครสวรรค์!J217+น่าน!J217+พะเยา!J217+พิจิตร!J217+พิษณุโลก!J217+เพชรบูรณ์!J217+แพร่!J217+แม่ฮ่องสอน!J217+ลำปาง!J217+ลำพูน!J217+สุโขทัย!J217+อุตรดิตถ์!J217+อุทัยธานี!J217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กำแพงเพชร!J218+เชียงราย!J218+เชียงใหม่!J218+ตาก!J218+นครสวรรค์!J218+น่าน!J218+พะเยา!J218+พิจิตร!J218+พิษณุโลก!J218+เพชรบูรณ์!J218+แพร่!J218+แม่ฮ่องสอน!J218+ลำปาง!J218+ลำพูน!J218+สุโขทัย!J218+อุตรดิตถ์!J218+อุทัยธานี!J218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กำแพงเพชร!I219+เชียงราย!I219+เชียงใหม่!I219+ตาก!I219+นครสวรรค์!I219+น่าน!I219+พะเยา!I219+พิจิตร!I219+พิษณุโลก!I219+เพชรบูรณ์!I219+แพร่!I219+แม่ฮ่องสอน!I219+ลำปาง!I219+ลำพูน!I219+สุโขทัย!I219+อุตรดิตถ์!I219+อุทัยธานี!I219</f>
        <v>234</v>
      </c>
      <c r="J219" s="267">
        <f ca="1">กำแพงเพชร!J219+เชียงราย!J219+เชียงใหม่!J219+ตาก!J219+นครสวรรค์!J219+น่าน!J219+พะเยา!J219+พิจิตร!J219+พิษณุโลก!J219+เพชรบูรณ์!J219+แพร่!J219+แม่ฮ่องสอน!J219+ลำปาง!J219+ลำพูน!J219+สุโขทัย!J219+อุตรดิตถ์!J219+อุทัยธานี!J219</f>
        <v>234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ca="1">กำแพงเพชร!L220+เชียงราย!L220+เชียงใหม่!L220+ตาก!L220+นครสวรรค์!L220+น่าน!L220+พะเยา!L220+พิจิตร!L220+พิษณุโลก!L220+เพชรบูรณ์!L220+แพร่!L220+แม่ฮ่องสอน!L220+ลำปาง!L220+ลำพูน!L220+สุโขทัย!L220+อุตรดิตถ์!L220+อุทัยธานี!L220</f>
        <v>332510</v>
      </c>
      <c r="M220" s="152">
        <f ca="1">กำแพงเพชร!M220+เชียงราย!M220+เชียงใหม่!M220+ตาก!M220+นครสวรรค์!M220+น่าน!M220+พะเยา!M220+พิจิตร!M220+พิษณุโลก!M220+เพชรบูรณ์!M220+แพร่!M220+แม่ฮ่องสอน!M220+ลำปาง!M220+ลำพูน!M220+สุโขทัย!M220+อุตรดิตถ์!M220+อุทัยธานี!M220</f>
        <v>332510</v>
      </c>
      <c r="N220" s="152">
        <f ca="1">กำแพงเพชร!N220+เชียงราย!N220+เชียงใหม่!N220+ตาก!N220+นครสวรรค์!N220+น่าน!N220+พะเยา!N220+พิจิตร!N220+พิษณุโลก!N220+เพชรบูรณ์!N220+แพร่!N220+แม่ฮ่องสอน!N220+ลำปาง!N220+ลำพูน!N220+สุโขทัย!N220+อุตรดิตถ์!N220+อุทัยธานี!N220</f>
        <v>330100</v>
      </c>
      <c r="O220" s="151">
        <f t="shared" ref="O220:O222" ca="1" si="59">IF(L220&gt;0,N220*100/L220,0)</f>
        <v>99.275209768127269</v>
      </c>
      <c r="P220" s="151">
        <f t="shared" ref="P220:P222" ca="1" si="60">IF(M220&gt;0,N220*100/M220,0)</f>
        <v>99.275209768127269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>กำแพงเพชร!L221+เชียงราย!L221+เชียงใหม่!L221+ตาก!L221+นครสวรรค์!L221+น่าน!L221+พะเยา!L221+พิจิตร!L221+พิษณุโลก!L221+เพชรบูรณ์!L221+แพร่!L221+แม่ฮ่องสอน!L221+ลำปาง!L221+ลำพูน!L221+สุโขทัย!L221+อุตรดิตถ์!L221+อุทัยธานี!L221</f>
        <v>0</v>
      </c>
      <c r="M221" s="88">
        <f>กำแพงเพชร!M221+เชียงราย!M221+เชียงใหม่!M221+ตาก!M221+นครสวรรค์!M221+น่าน!M221+พะเยา!M221+พิจิตร!M221+พิษณุโลก!M221+เพชรบูรณ์!M221+แพร่!M221+แม่ฮ่องสอน!M221+ลำปาง!M221+ลำพูน!M221+สุโขทัย!M221+อุตรดิตถ์!M221+อุทัยธานี!M221</f>
        <v>0</v>
      </c>
      <c r="N221" s="88">
        <f>กำแพงเพชร!N221+เชียงราย!N221+เชียงใหม่!N221+ตาก!N221+นครสวรรค์!N221+น่าน!N221+พะเยา!N221+พิจิตร!N221+พิษณุโลก!N221+เพชรบูรณ์!N221+แพร่!N221+แม่ฮ่องสอน!N221+ลำปาง!N221+ลำพูน!N221+สุโขทัย!N221+อุตรดิตถ์!N221+อุทัย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ca="1">กำแพงเพชร!L222+เชียงราย!L222+เชียงใหม่!L222+ตาก!L222+นครสวรรค์!L222+น่าน!L222+พะเยา!L222+พิจิตร!L222+พิษณุโลก!L222+เพชรบูรณ์!L222+แพร่!L222+แม่ฮ่องสอน!L222+ลำปาง!L222+ลำพูน!L222+สุโขทัย!L222+อุตรดิตถ์!L222+อุทัยธานี!L222</f>
        <v>332510</v>
      </c>
      <c r="M222" s="88">
        <f ca="1">กำแพงเพชร!M222+เชียงราย!M222+เชียงใหม่!M222+ตาก!M222+นครสวรรค์!M222+น่าน!M222+พะเยา!M222+พิจิตร!M222+พิษณุโลก!M222+เพชรบูรณ์!M222+แพร่!M222+แม่ฮ่องสอน!M222+ลำปาง!M222+ลำพูน!M222+สุโขทัย!M222+อุตรดิตถ์!M222+อุทัยธานี!M222</f>
        <v>332510</v>
      </c>
      <c r="N222" s="88">
        <f ca="1">กำแพงเพชร!N222+เชียงราย!N222+เชียงใหม่!N222+ตาก!N222+นครสวรรค์!N222+น่าน!N222+พะเยา!N222+พิจิตร!N222+พิษณุโลก!N222+เพชรบูรณ์!N222+แพร่!N222+แม่ฮ่องสอน!N222+ลำปาง!N222+ลำพูน!N222+สุโขทัย!N222+อุตรดิตถ์!N222+อุทัยธานี!N222</f>
        <v>330100</v>
      </c>
      <c r="O222" s="156">
        <f t="shared" ca="1" si="59"/>
        <v>99.275209768127269</v>
      </c>
      <c r="P222" s="156">
        <f t="shared" ca="1" si="60"/>
        <v>99.275209768127269</v>
      </c>
    </row>
    <row r="223" spans="1:16" ht="21.75" customHeight="1" x14ac:dyDescent="0.45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ำแพงเพชร!L223+เชียงราย!L223+เชียงใหม่!L223+ตาก!L223+นครสวรรค์!L223+น่าน!L223+พะเยา!L223+พิจิตร!L223+พิษณุโลก!L223+เพชรบูรณ์!L223+แพร่!L223+แม่ฮ่องสอน!L223+ลำปาง!L223+ลำพูน!L223+สุโขทัย!L223+อุตรดิตถ์!L223+อุทัยธานี!L223</f>
        <v>0</v>
      </c>
      <c r="M223" s="164">
        <f>กำแพงเพชร!M223+เชียงราย!M223+เชียงใหม่!M223+ตาก!M223+นครสวรรค์!M223+น่าน!M223+พะเยา!M223+พิจิตร!M223+พิษณุโลก!M223+เพชรบูรณ์!M223+แพร่!M223+แม่ฮ่องสอน!M223+ลำปาง!M223+ลำพูน!M223+สุโขทัย!M223+อุตรดิตถ์!M223+อุทัยธานี!M223</f>
        <v>0</v>
      </c>
      <c r="N223" s="164">
        <f>กำแพงเพชร!N223+เชียงราย!N223+เชียงใหม่!N223+ตาก!N223+นครสวรรค์!N223+น่าน!N223+พะเยา!N223+พิจิตร!N223+พิษณุโลก!N223+เพชรบูรณ์!N223+แพร่!N223+แม่ฮ่องสอน!N223+ลำปาง!N223+ลำพูน!N223+สุโขทัย!N223+อุตรดิตถ์!N223+อุทัยธานี!N223</f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กำแพงเพชร!L224+เชียงราย!L224+เชียงใหม่!L224+ตาก!L224+นครสวรรค์!L224+น่าน!L224+พะเยา!L224+พิจิตร!L224+พิษณุโลก!L224+เพชรบูรณ์!L224+แพร่!L224+แม่ฮ่องสอน!L224+ลำปาง!L224+ลำพูน!L224+สุโขทัย!L224+อุตรดิตถ์!L224+อุทัยธานี!L224</f>
        <v>332510</v>
      </c>
      <c r="M224" s="167">
        <f ca="1">กำแพงเพชร!M224+เชียงราย!M224+เชียงใหม่!M224+ตาก!M224+นครสวรรค์!M224+น่าน!M224+พะเยา!M224+พิจิตร!M224+พิษณุโลก!M224+เพชรบูรณ์!M224+แพร่!M224+แม่ฮ่องสอน!M224+ลำปาง!M224+ลำพูน!M224+สุโขทัย!M224+อุตรดิตถ์!M224+อุทัยธานี!M224</f>
        <v>332510</v>
      </c>
      <c r="N224" s="168">
        <f ca="1">กำแพงเพชร!N224+เชียงราย!N224+เชียงใหม่!N224+ตาก!N224+นครสวรรค์!N224+น่าน!N224+พะเยา!N224+พิจิตร!N224+พิษณุโลก!N224+เพชรบูรณ์!N224+แพร่!N224+แม่ฮ่องสอน!N224+ลำปาง!N224+ลำพูน!N224+สุโขทัย!N224+อุตรดิตถ์!N224+อุทัยธานี!N224</f>
        <v>330100</v>
      </c>
      <c r="O224" s="168">
        <f ca="1">IF(L224&gt;0,N224*100/L224,0)</f>
        <v>99.275209768127269</v>
      </c>
      <c r="P224" s="168">
        <f ca="1">IF(M224&gt;0,N224*100/M224,0)</f>
        <v>99.275209768127269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กำแพงเพชร!L225+เชียงราย!L225+เชียงใหม่!L225+ตาก!L225+นครสวรรค์!L225+น่าน!L225+พะเยา!L225+พิจิตร!L225+พิษณุโลก!L225+เพชรบูรณ์!L225+แพร่!L225+แม่ฮ่องสอน!L225+ลำปาง!L225+ลำพูน!L225+สุโขทัย!L225+อุตรดิตถ์!L225+อุทัยธานี!L225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กำแพงเพชร!L226+เชียงราย!L226+เชียงใหม่!L226+ตาก!L226+นครสวรรค์!L226+น่าน!L226+พะเยา!L226+พิจิตร!L226+พิษณุโลก!L226+เพชรบูรณ์!L226+แพร่!L226+แม่ฮ่องสอน!L226+ลำปาง!L226+ลำพูน!L226+สุโขทัย!L226+อุตรดิตถ์!L226+อุทัยธานี!L226</f>
        <v>332510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90"/>
      <c r="L227" s="42">
        <f>กำแพงเพชร!L227+เชียงราย!L227+เชียงใหม่!L227+ตาก!L227+นครสวรรค์!L227+น่าน!L227+พะเยา!L227+พิจิตร!L227+พิษณุโลก!L227+เพชรบูรณ์!L227+แพร่!L227+แม่ฮ่องสอน!L227+ลำปาง!L227+ลำพูน!L227+สุโขทัย!L227+อุตรดิตถ์!L227+อุทัยธานี!L227</f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0</v>
      </c>
      <c r="M228" s="50"/>
      <c r="N228" s="50">
        <f ca="1">กำแพงเพชร!N228+เชียงราย!N228+เชียงใหม่!N228+ตาก!N228+นครสวรรค์!N228+น่าน!N228+พะเยา!N228+พิจิตร!N228+พิษณุโลก!N228+เพชรบูรณ์!N228+แพร่!N228+แม่ฮ่องสอน!N228+ลำปาง!N228+ลำพูน!N228+สุโขทัย!N228+อุตรดิตถ์!N228+อุทัยธานี!N228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กำแพงเพชร!I229+เชียงราย!I229+เชียงใหม่!I229+ตาก!I229+นครสวรรค์!I229+น่าน!I229+พะเยา!I229+พิจิตร!I229+พิษณุโลก!I229+เพชรบูรณ์!I229+แพร่!I229+แม่ฮ่องสอน!I229+ลำปาง!I229+ลำพูน!I229+สุโขทัย!I229+อุตรดิตถ์!I229+อุทัยธานี!I229</f>
        <v>234</v>
      </c>
      <c r="J229" s="267">
        <f ca="1">กำแพงเพชร!J229+เชียงราย!J229+เชียงใหม่!J229+ตาก!J229+นครสวรรค์!J229+น่าน!J229+พะเยา!J229+พิจิตร!J229+พิษณุโลก!J229+เพชรบูรณ์!J229+แพร่!J229+แม่ฮ่องสอน!J229+ลำปาง!J229+ลำพูน!J229+สุโขทัย!J229+อุตรดิตถ์!J229+อุทัยธานี!J229</f>
        <v>234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กำแพงเพชร!J231+เชียงราย!J231+เชียงใหม่!J231+ตาก!J231+นครสวรรค์!J231+น่าน!J231+พะเยา!J231+พิจิตร!J231+พิษณุโลก!J231+เพชรบูรณ์!J231+แพร่!J231+แม่ฮ่องสอน!J231+ลำปาง!J231+ลำพูน!J231+สุโขทัย!J231+อุตรดิตถ์!J231+อุทัยธานี!J231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กำแพงเพชร!J232+เชียงราย!J232+เชียงใหม่!J232+ตาก!J232+นครสวรรค์!J232+น่าน!J232+พะเยา!J232+พิจิตร!J232+พิษณุโลก!J232+เพชรบูรณ์!J232+แพร่!J232+แม่ฮ่องสอน!J232+ลำปาง!J232+ลำพูน!J232+สุโขทัย!J232+อุตรดิตถ์!J232+อุทัยธานี!J232</f>
        <v>8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กำแพงเพชร!J233+เชียงราย!J233+เชียงใหม่!J233+ตาก!J233+นครสวรรค์!J233+น่าน!J233+พะเยา!J233+พิจิตร!J233+พิษณุโลก!J233+เพชรบูรณ์!J233+แพร่!J233+แม่ฮ่องสอน!J233+ลำปาง!J233+ลำพูน!J233+สุโขทัย!J233+อุตรดิตถ์!J233+อุทัยธานี!J233</f>
        <v>12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12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234</v>
      </c>
      <c r="J235" s="188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234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24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9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0</v>
      </c>
      <c r="J238" s="267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กำแพงเพชร!J242+เชียงราย!J242+เชียงใหม่!J242+ตาก!J242+นครสวรรค์!J242+น่าน!J242+พะเยา!J242+พิจิตร!J242+พิษณุโลก!J242+เพชรบูรณ์!J242+แพร่!J242+แม่ฮ่องสอน!J242+ลำปาง!J242+ลำพูน!J242+สุโขทัย!J242+อุตรดิตถ์!J242+อุทัยธานี!J242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กำแพงเพชร!J243+เชียงราย!J243+เชียงใหม่!J243+ตาก!J243+นครสวรรค์!J243+น่าน!J243+พะเยา!J243+พิจิตร!J243+พิษณุโลก!J243+เพชรบูรณ์!J243+แพร่!J243+แม่ฮ่องสอน!J243+ลำปาง!J243+ลำพูน!J243+สุโขทัย!J243+อุตรดิตถ์!J243+อุทัยธานี!J243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0</v>
      </c>
      <c r="J244" s="187">
        <f ca="1"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กำแพงเพชร!J246+เชียงราย!J246+เชียงใหม่!J246+ตาก!J246+นครสวรรค์!J246+น่าน!J246+พะเยา!J246+พิจิตร!J246+พิษณุโลก!J246+เพชรบูรณ์!J246+แพร่!J246+แม่ฮ่องสอน!J246+ลำปาง!J246+ลำพูน!J246+สุโขทัย!J246+อุตรดิตถ์!J246+อุทัยธานี!J246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กำแพงเพชร!I249+เชียงราย!I249+เชียงใหม่!I249+ตาก!I249+นครสวรรค์!I249+น่าน!I249+พะเยา!I249+พิจิตร!I249+พิษณุโลก!I249+เพชรบูรณ์!I249+แพร่!I249+แม่ฮ่องสอน!I249+ลำปาง!I249+ลำพูน!I249+สุโขทัย!I249+อุตรดิตถ์!I249+อุทัยธานี!I249</f>
        <v>180</v>
      </c>
      <c r="J249" s="316">
        <f ca="1">กำแพงเพชร!J249+เชียงราย!J249+เชียงใหม่!J249+ตาก!J249+นครสวรรค์!J249+น่าน!J249+พะเยา!J249+พิจิตร!J249+พิษณุโลก!J249+เพชรบูรณ์!J249+แพร่!J249+แม่ฮ่องสอน!J249+ลำปาง!J249+ลำพูน!J249+สุโขทัย!J249+อุตรดิตถ์!J249+อุทัยธานี!J249</f>
        <v>180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ca="1">กำแพงเพชร!L250+เชียงราย!L250+เชียงใหม่!L250+ตาก!L250+นครสวรรค์!L250+น่าน!L250+พะเยา!L250+พิจิตร!L250+พิษณุโลก!L250+เพชรบูรณ์!L250+แพร่!L250+แม่ฮ่องสอน!L250+ลำปาง!L250+ลำพูน!L250+สุโขทัย!L250+อุตรดิตถ์!L250+อุทัยธานี!L250</f>
        <v>1126000</v>
      </c>
      <c r="M250" s="152">
        <f ca="1"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827500</v>
      </c>
      <c r="N250" s="152">
        <f ca="1">กำแพงเพชร!N250+เชียงราย!N250+เชียงใหม่!N250+ตาก!N250+นครสวรรค์!N250+น่าน!N250+พะเยา!N250+พิจิตร!N250+พิษณุโลก!N250+เพชรบูรณ์!N250+แพร่!N250+แม่ฮ่องสอน!N250+ลำปาง!N250+ลำพูน!N250+สุโขทัย!N250+อุตรดิตถ์!N250+อุทัยธานี!N250</f>
        <v>706456.76</v>
      </c>
      <c r="O250" s="151">
        <f t="shared" ref="O250:O252" ca="1" si="61">IF(L250&gt;0,N250*100/L250,0)</f>
        <v>62.740387211367675</v>
      </c>
      <c r="P250" s="151">
        <f t="shared" ref="P250:P252" ca="1" si="62">IF(M250&gt;0,N250*100/M250,0)</f>
        <v>85.372418126888221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>กำแพงเพชร!L251+เชียงราย!L251+เชียงใหม่!L251+ตาก!L251+นครสวรรค์!L251+น่าน!L251+พะเยา!L251+พิจิตร!L251+พิษณุโลก!L251+เพชรบูรณ์!L251+แพร่!L251+แม่ฮ่องสอน!L251+ลำปาง!L251+ลำพูน!L251+สุโขทัย!L251+อุตรดิตถ์!L251+อุทัยธานี!L251</f>
        <v>0</v>
      </c>
      <c r="M251" s="88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88">
        <f>กำแพงเพชร!N251+เชียงราย!N251+เชียงใหม่!N251+ตาก!N251+นครสวรรค์!N251+น่าน!N251+พะเยา!N251+พิจิตร!N251+พิษณุโลก!N251+เพชรบูรณ์!N251+แพร่!N251+แม่ฮ่องสอน!N251+ลำปาง!N251+ลำพูน!N251+สุโขทัย!N251+อุตรดิตถ์!N251+อุทัย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ca="1">กำแพงเพชร!L252+เชียงราย!L252+เชียงใหม่!L252+ตาก!L252+นครสวรรค์!L252+น่าน!L252+พะเยา!L252+พิจิตร!L252+พิษณุโลก!L252+เพชรบูรณ์!L252+แพร่!L252+แม่ฮ่องสอน!L252+ลำปาง!L252+ลำพูน!L252+สุโขทัย!L252+อุตรดิตถ์!L252+อุทัยธานี!L252</f>
        <v>1126000</v>
      </c>
      <c r="M252" s="88">
        <f ca="1"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827500</v>
      </c>
      <c r="N252" s="88">
        <f ca="1">กำแพงเพชร!N252+เชียงราย!N252+เชียงใหม่!N252+ตาก!N252+นครสวรรค์!N252+น่าน!N252+พะเยา!N252+พิจิตร!N252+พิษณุโลก!N252+เพชรบูรณ์!N252+แพร่!N252+แม่ฮ่องสอน!N252+ลำปาง!N252+ลำพูน!N252+สุโขทัย!N252+อุตรดิตถ์!N252+อุทัยธานี!N252</f>
        <v>706456.76</v>
      </c>
      <c r="O252" s="156">
        <f t="shared" ca="1" si="61"/>
        <v>62.740387211367675</v>
      </c>
      <c r="P252" s="156">
        <f t="shared" ca="1" si="62"/>
        <v>85.372418126888221</v>
      </c>
    </row>
    <row r="253" spans="1:16" ht="21.75" customHeight="1" x14ac:dyDescent="0.45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ำแพงเพชร!L253+เชียงราย!L253+เชียงใหม่!L253+ตาก!L253+นครสวรรค์!L253+น่าน!L253+พะเยา!L253+พิจิตร!L253+พิษณุโลก!L253+เพชรบูรณ์!L253+แพร่!L253+แม่ฮ่องสอน!L253+ลำปาง!L253+ลำพูน!L253+สุโขทัย!L253+อุตรดิตถ์!L253+อุทัยธานี!L253</f>
        <v>0</v>
      </c>
      <c r="M253" s="164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0</v>
      </c>
      <c r="N253" s="164">
        <f>กำแพงเพชร!N253+เชียงราย!N253+เชียงใหม่!N253+ตาก!N253+นครสวรรค์!N253+น่าน!N253+พะเยา!N253+พิจิตร!N253+พิษณุโลก!N253+เพชรบูรณ์!N253+แพร่!N253+แม่ฮ่องสอน!N253+ลำปาง!N253+ลำพูน!N253+สุโขทัย!N253+อุตรดิตถ์!N253+อุทัยธานี!N253</f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กำแพงเพชร!L254+เชียงราย!L254+เชียงใหม่!L254+ตาก!L254+นครสวรรค์!L254+น่าน!L254+พะเยา!L254+พิจิตร!L254+พิษณุโลก!L254+เพชรบูรณ์!L254+แพร่!L254+แม่ฮ่องสอน!L254+ลำปาง!L254+ลำพูน!L254+สุโขทัย!L254+อุตรดิตถ์!L254+อุทัยธานี!L254</f>
        <v>1126000</v>
      </c>
      <c r="M254" s="167">
        <f ca="1">กำแพงเพชร!M254+เชียงราย!M254+เชียงใหม่!M254+ตาก!M254+นครสวรรค์!M254+น่าน!M254+พะเยา!M254+พิจิตร!M254+พิษณุโลก!M254+เพชรบูรณ์!M254+แพร่!M254+แม่ฮ่องสอน!M254+ลำปาง!M254+ลำพูน!M254+สุโขทัย!M254+อุตรดิตถ์!M254+อุทัยธานี!M254</f>
        <v>827500</v>
      </c>
      <c r="N254" s="168">
        <f ca="1">กำแพงเพชร!N254+เชียงราย!N254+เชียงใหม่!N254+ตาก!N254+นครสวรรค์!N254+น่าน!N254+พะเยา!N254+พิจิตร!N254+พิษณุโลก!N254+เพชรบูรณ์!N254+แพร่!N254+แม่ฮ่องสอน!N254+ลำปาง!N254+ลำพูน!N254+สุโขทัย!N254+อุตรดิตถ์!N254+อุทัยธานี!N254</f>
        <v>706456.76</v>
      </c>
      <c r="O254" s="168">
        <f ca="1">IF(L254&gt;0,N254*100/L254,0)</f>
        <v>62.740387211367675</v>
      </c>
      <c r="P254" s="168">
        <f ca="1">IF(M254&gt;0,N254*100/M254,0)</f>
        <v>85.372418126888221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กำแพงเพชร!L255+เชียงราย!L255+เชียงใหม่!L255+ตาก!L255+นครสวรรค์!L255+น่าน!L255+พะเยา!L255+พิจิตร!L255+พิษณุโลก!L255+เพชรบูรณ์!L255+แพร่!L255+แม่ฮ่องสอน!L255+ลำปาง!L255+ลำพูน!L255+สุโขทัย!L255+อุตรดิตถ์!L255+อุทัยธานี!L255</f>
        <v>264000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กำแพงเพชร!L256+เชียงราย!L256+เชียงใหม่!L256+ตาก!L256+นครสวรรค์!L256+น่าน!L256+พะเยา!L256+พิจิตร!L256+พิษณุโลก!L256+เพชรบูรณ์!L256+แพร่!L256+แม่ฮ่องสอน!L256+ลำปาง!L256+ลำพูน!L256+สุโขทัย!L256+อุตรดิตถ์!L256+อุทัยธานี!L256</f>
        <v>862000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f>กำแพงเพชร!L257+เชียงราย!L257+เชียงใหม่!L257+ตาก!L257+นครสวรรค์!L257+น่าน!L257+พะเยา!L257+พิจิตร!L257+พิษณุโลก!L257+เพชรบูรณ์!L257+แพร่!L257+แม่ฮ่องสอน!L257+ลำปาง!L257+ลำพูน!L257+สุโขทัย!L257+อุตรดิตถ์!L257+อุทัยธานี!L257</f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กำแพงเพชร!L258+เชียงราย!L258+เชียงใหม่!L258+ตาก!L258+นครสวรรค์!L258+น่าน!L258+พะเยา!L258+พิจิตร!L258+พิษณุโลก!L258+เพชรบูรณ์!L258+แพร่!L258+แม่ฮ่องสอน!L258+ลำปาง!L258+ลำพูน!L258+สุโขทัย!L258+อุตรดิตถ์!L258+อุทัยธานี!L258</f>
        <v>0</v>
      </c>
      <c r="M258" s="50"/>
      <c r="N258" s="50">
        <f ca="1">กำแพงเพชร!N258+เชียงราย!N258+เชียงใหม่!N258+ตาก!N258+นครสวรรค์!N258+น่าน!N258+พะเยา!N258+พิจิตร!N258+พิษณุโลก!N258+เพชรบูรณ์!N258+แพร่!N258+แม่ฮ่องสอน!N258+ลำปาง!N258+ลำพูน!N258+สุโขทัย!N258+อุตรดิตถ์!N258+อุทัยธานี!N258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กำแพงเพชร!J261+เชียงราย!J261+เชียงใหม่!J261+ตาก!J261+นครสวรรค์!J261+น่าน!J261+พะเยา!J261+พิจิตร!J261+พิษณุโลก!J261+เพชรบูรณ์!J261+แพร่!J261+แม่ฮ่องสอน!J261+ลำปาง!J261+ลำพูน!J261+สุโขทัย!J261+อุตรดิตถ์!J261+อุทัยธานี!J261</f>
        <v>8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8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7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8</v>
      </c>
      <c r="J264" s="188">
        <f ca="1"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8</v>
      </c>
      <c r="K264" s="163">
        <f t="shared" ref="K264:K267" ca="1" si="63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180</v>
      </c>
      <c r="J265" s="188">
        <f ca="1"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180</v>
      </c>
      <c r="K265" s="163">
        <f t="shared" ca="1" si="63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180</v>
      </c>
      <c r="J266" s="188">
        <f ca="1"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75</v>
      </c>
      <c r="K266" s="163">
        <f t="shared" ca="1" si="63"/>
        <v>41.666666666666664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8</v>
      </c>
      <c r="J267" s="188">
        <f ca="1"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7</v>
      </c>
      <c r="K267" s="163">
        <f t="shared" ca="1" si="63"/>
        <v>87.5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กำแพงเพชร!J269+เชียงราย!J269+เชียงใหม่!J269+ตาก!J269+นครสวรรค์!J269+น่าน!J269+พะเยา!J269+พิจิตร!J269+พิษณุโลก!J269+เพชรบูรณ์!J269+แพร่!J269+แม่ฮ่องสอน!J269+ลำปาง!J269+ลำพูน!J269+สุโขทัย!J269+อุตรดิตถ์!J269+อุทัยธานี!J269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255</v>
      </c>
      <c r="J270" s="316">
        <f ca="1"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255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ca="1">กำแพงเพชร!L271+เชียงราย!L271+เชียงใหม่!L271+ตาก!L271+นครสวรรค์!L271+น่าน!L271+พะเยา!L271+พิจิตร!L271+พิษณุโลก!L271+เพชรบูรณ์!L271+แพร่!L271+แม่ฮ่องสอน!L271+ลำปาง!L271+ลำพูน!L271+สุโขทัย!L271+อุตรดิตถ์!L271+อุทัยธานี!L271</f>
        <v>2476100</v>
      </c>
      <c r="M271" s="152">
        <f ca="1">กำแพงเพชร!M271+เชียงราย!M271+เชียงใหม่!M271+ตาก!M271+นครสวรรค์!M271+น่าน!M271+พะเยา!M271+พิจิตร!M271+พิษณุโลก!M271+เพชรบูรณ์!M271+แพร่!M271+แม่ฮ่องสอน!M271+ลำปาง!M271+ลำพูน!M271+สุโขทัย!M271+อุตรดิตถ์!M271+อุทัยธานี!M271</f>
        <v>1837250</v>
      </c>
      <c r="N271" s="152">
        <f ca="1">กำแพงเพชร!N271+เชียงราย!N271+เชียงใหม่!N271+ตาก!N271+นครสวรรค์!N271+น่าน!N271+พะเยา!N271+พิจิตร!N271+พิษณุโลก!N271+เพชรบูรณ์!N271+แพร่!N271+แม่ฮ่องสอน!N271+ลำปาง!N271+ลำพูน!N271+สุโขทัย!N271+อุตรดิตถ์!N271+อุทัยธานี!N271</f>
        <v>1442037.75</v>
      </c>
      <c r="O271" s="151">
        <f t="shared" ref="O271:O273" ca="1" si="64">IF(L271&gt;0,N271*100/L271,0)</f>
        <v>58.238267840555714</v>
      </c>
      <c r="P271" s="151">
        <f t="shared" ref="P271:P273" ca="1" si="65">IF(M271&gt;0,N271*100/M271,0)</f>
        <v>78.488923663083412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>กำแพงเพชร!L272+เชียงราย!L272+เชียงใหม่!L272+ตาก!L272+นครสวรรค์!L272+น่าน!L272+พะเยา!L272+พิจิตร!L272+พิษณุโลก!L272+เพชรบูรณ์!L272+แพร่!L272+แม่ฮ่องสอน!L272+ลำปาง!L272+ลำพูน!L272+สุโขทัย!L272+อุตรดิตถ์!L272+อุทัยธานี!L272</f>
        <v>0</v>
      </c>
      <c r="M272" s="88">
        <f>กำแพงเพชร!M272+เชียงราย!M272+เชียงใหม่!M272+ตาก!M272+นครสวรรค์!M272+น่าน!M272+พะเยา!M272+พิจิตร!M272+พิษณุโลก!M272+เพชรบูรณ์!M272+แพร่!M272+แม่ฮ่องสอน!M272+ลำปาง!M272+ลำพูน!M272+สุโขทัย!M272+อุตรดิตถ์!M272+อุทัยธานี!M272</f>
        <v>0</v>
      </c>
      <c r="N272" s="88">
        <f>กำแพงเพชร!N272+เชียงราย!N272+เชียงใหม่!N272+ตาก!N272+นครสวรรค์!N272+น่าน!N272+พะเยา!N272+พิจิตร!N272+พิษณุโลก!N272+เพชรบูรณ์!N272+แพร่!N272+แม่ฮ่องสอน!N272+ลำปาง!N272+ลำพูน!N272+สุโขทัย!N272+อุตรดิตถ์!N272+อุทัย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ca="1">กำแพงเพชร!L273+เชียงราย!L273+เชียงใหม่!L273+ตาก!L273+นครสวรรค์!L273+น่าน!L273+พะเยา!L273+พิจิตร!L273+พิษณุโลก!L273+เพชรบูรณ์!L273+แพร่!L273+แม่ฮ่องสอน!L273+ลำปาง!L273+ลำพูน!L273+สุโขทัย!L273+อุตรดิตถ์!L273+อุทัยธานี!L273</f>
        <v>2476100</v>
      </c>
      <c r="M273" s="88">
        <f ca="1">กำแพงเพชร!M273+เชียงราย!M273+เชียงใหม่!M273+ตาก!M273+นครสวรรค์!M273+น่าน!M273+พะเยา!M273+พิจิตร!M273+พิษณุโลก!M273+เพชรบูรณ์!M273+แพร่!M273+แม่ฮ่องสอน!M273+ลำปาง!M273+ลำพูน!M273+สุโขทัย!M273+อุตรดิตถ์!M273+อุทัยธานี!M273</f>
        <v>1837250</v>
      </c>
      <c r="N273" s="88">
        <f ca="1">กำแพงเพชร!N273+เชียงราย!N273+เชียงใหม่!N273+ตาก!N273+นครสวรรค์!N273+น่าน!N273+พะเยา!N273+พิจิตร!N273+พิษณุโลก!N273+เพชรบูรณ์!N273+แพร่!N273+แม่ฮ่องสอน!N273+ลำปาง!N273+ลำพูน!N273+สุโขทัย!N273+อุตรดิตถ์!N273+อุทัยธานี!N273</f>
        <v>1442037.75</v>
      </c>
      <c r="O273" s="156">
        <f t="shared" ca="1" si="64"/>
        <v>58.238267840555714</v>
      </c>
      <c r="P273" s="156">
        <f t="shared" ca="1" si="65"/>
        <v>78.488923663083412</v>
      </c>
    </row>
    <row r="274" spans="1:16" ht="21.75" customHeight="1" x14ac:dyDescent="0.45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ำแพงเพชร!L274+เชียงราย!L274+เชียงใหม่!L274+ตาก!L274+นครสวรรค์!L274+น่าน!L274+พะเยา!L274+พิจิตร!L274+พิษณุโลก!L274+เพชรบูรณ์!L274+แพร่!L274+แม่ฮ่องสอน!L274+ลำปาง!L274+ลำพูน!L274+สุโขทัย!L274+อุตรดิตถ์!L274+อุทัยธานี!L274</f>
        <v>0</v>
      </c>
      <c r="M274" s="164">
        <f>กำแพงเพชร!M274+เชียงราย!M274+เชียงใหม่!M274+ตาก!M274+นครสวรรค์!M274+น่าน!M274+พะเยา!M274+พิจิตร!M274+พิษณุโลก!M274+เพชรบูรณ์!M274+แพร่!M274+แม่ฮ่องสอน!M274+ลำปาง!M274+ลำพูน!M274+สุโขทัย!M274+อุตรดิตถ์!M274+อุทัยธานี!M274</f>
        <v>0</v>
      </c>
      <c r="N274" s="164">
        <f>กำแพงเพชร!N274+เชียงราย!N274+เชียงใหม่!N274+ตาก!N274+นครสวรรค์!N274+น่าน!N274+พะเยา!N274+พิจิตร!N274+พิษณุโลก!N274+เพชรบูรณ์!N274+แพร่!N274+แม่ฮ่องสอน!N274+ลำปาง!N274+ลำพูน!N274+สุโขทัย!N274+อุตรดิตถ์!N274+อุทัยธานี!N274</f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2476100</v>
      </c>
      <c r="M275" s="167">
        <f ca="1"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1837250</v>
      </c>
      <c r="N275" s="168">
        <f ca="1">กำแพงเพชร!N275+เชียงราย!N275+เชียงใหม่!N275+ตาก!N275+นครสวรรค์!N275+น่าน!N275+พะเยา!N275+พิจิตร!N275+พิษณุโลก!N275+เพชรบูรณ์!N275+แพร่!N275+แม่ฮ่องสอน!N275+ลำปาง!N275+ลำพูน!N275+สุโขทัย!N275+อุตรดิตถ์!N275+อุทัยธานี!N275</f>
        <v>1442037.75</v>
      </c>
      <c r="O275" s="168">
        <f ca="1">IF(L275&gt;0,N275*100/L275,0)</f>
        <v>58.238267840555714</v>
      </c>
      <c r="P275" s="168">
        <f ca="1">IF(M275&gt;0,N275*100/M275,0)</f>
        <v>78.488923663083412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กำแพงเพชร!L276+เชียงราย!L276+เชียงใหม่!L276+ตาก!L276+นครสวรรค์!L276+น่าน!L276+พะเยา!L276+พิจิตร!L276+พิษณุโลก!L276+เพชรบูรณ์!L276+แพร่!L276+แม่ฮ่องสอน!L276+ลำปาง!L276+ลำพูน!L276+สุโขทัย!L276+อุตรดิตถ์!L276+อุทัยธานี!L276</f>
        <v>1056000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1420100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f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50"/>
      <c r="N279" s="50">
        <f ca="1">กำแพงเพชร!N279+เชียงราย!N279+เชียงใหม่!N279+ตาก!N279+นครสวรรค์!N279+น่าน!N279+พะเยา!N279+พิจิตร!N279+พิษณุโลก!N279+เพชรบูรณ์!N279+แพร่!N279+แม่ฮ่องสอน!N279+ลำปาง!N279+ลำพูน!N279+สุโขทัย!N279+อุตรดิตถ์!N279+อุทัยธานี!N279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กำแพงเพชร!J281+เชียงราย!J281+เชียงใหม่!J281+ตาก!J281+นครสวรรค์!J281+น่าน!J281+พะเยา!J281+พิจิตร!J281+พิษณุโลก!J281+เพชรบูรณ์!J281+แพร่!J281+แม่ฮ่องสอน!J281+ลำปาง!J281+ลำพูน!J281+สุโขทัย!J281+อุตรดิตถ์!J281+อุทัยธานี!J281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กำแพงเพชร!J282+เชียงราย!J282+เชียงใหม่!J282+ตาก!J282+นครสวรรค์!J282+น่าน!J282+พะเยา!J282+พิจิตร!J282+พิษณุโลก!J282+เพชรบูรณ์!J282+แพร่!J282+แม่ฮ่องสอน!J282+ลำปาง!J282+ลำพูน!J282+สุโขทัย!J282+อุตรดิตถ์!J282+อุทัยธานี!J282</f>
        <v>15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กำแพงเพชร!J283+เชียงราย!J283+เชียงใหม่!J283+ตาก!J283+นครสวรรค์!J283+น่าน!J283+พะเยา!J283+พิจิตร!J283+พิษณุโลก!J283+เพชรบูรณ์!J283+แพร่!J283+แม่ฮ่องสอน!J283+ลำปาง!J283+ลำพูน!J283+สุโขทัย!J283+อุตรดิตถ์!J283+อุทัยธานี!J283</f>
        <v>15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กำแพงเพชร!J284+เชียงราย!J284+เชียงใหม่!J284+ตาก!J284+นครสวรรค์!J284+น่าน!J284+พะเยา!J284+พิจิตร!J284+พิษณุโลก!J284+เพชรบูรณ์!J284+แพร่!J284+แม่ฮ่องสอน!J284+ลำปาง!J284+ลำพูน!J284+สุโขทัย!J284+อุตรดิตถ์!J284+อุทัยธานี!J284</f>
        <v>15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กำแพงเพชร!I285+เชียงราย!I285+เชียงใหม่!I285+ตาก!I285+นครสวรรค์!I285+น่าน!I285+พะเยา!I285+พิจิตร!I285+พิษณุโลก!I285+เพชรบูรณ์!I285+แพร่!I285+แม่ฮ่องสอน!I285+ลำปาง!I285+ลำพูน!I285+สุโขทัย!I285+อุตรดิตถ์!I285+อุทัยธานี!I285</f>
        <v>255</v>
      </c>
      <c r="J285" s="188">
        <f ca="1">กำแพงเพชร!J285+เชียงราย!J285+เชียงใหม่!J285+ตาก!J285+นครสวรรค์!J285+น่าน!J285+พะเยา!J285+พิจิตร!J285+พิษณุโลก!J285+เพชรบูรณ์!J285+แพร่!J285+แม่ฮ่องสอน!J285+ลำปาง!J285+ลำพูน!J285+สุโขทัย!J285+อุตรดิตถ์!J285+อุทัยธานี!J285</f>
        <v>255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กำแพงเพชร!I289+เชียงราย!I289+เชียงใหม่!I289+ตาก!I289+นครสวรรค์!I289+น่าน!I289+พะเยา!I289+พิจิตร!I289+พิษณุโลก!I289+เพชรบูรณ์!I289+แพร่!I289+แม่ฮ่องสอน!I289+ลำปาง!I289+ลำพูน!I289+สุโขทัย!I289+อุตรดิตถ์!I289+อุทัยธานี!I289</f>
        <v>40</v>
      </c>
      <c r="J289" s="316">
        <f ca="1"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4"/>
      <c r="L290" s="152">
        <f ca="1">กำแพงเพชร!L290+เชียงราย!L290+เชียงใหม่!L290+ตาก!L290+นครสวรรค์!L290+น่าน!L290+พะเยา!L290+พิจิตร!L290+พิษณุโลก!L290+เพชรบูรณ์!L290+แพร่!L290+แม่ฮ่องสอน!L290+ลำปาง!L290+ลำพูน!L290+สุโขทัย!L290+อุตรดิตถ์!L290+อุทัยธานี!L290</f>
        <v>120760</v>
      </c>
      <c r="M290" s="152">
        <f ca="1">กำแพงเพชร!M290+เชียงราย!M290+เชียงใหม่!M290+ตาก!M290+นครสวรรค์!M290+น่าน!M290+พะเยา!M290+พิจิตร!M290+พิษณุโลก!M290+เพชรบูรณ์!M290+แพร่!M290+แม่ฮ่องสอน!M290+ลำปาง!M290+ลำพูน!M290+สุโขทัย!M290+อุตรดิตถ์!M290+อุทัยธานี!M290</f>
        <v>120760</v>
      </c>
      <c r="N290" s="152">
        <f ca="1">กำแพงเพชร!N290+เชียงราย!N290+เชียงใหม่!N290+ตาก!N290+นครสวรรค์!N290+น่าน!N290+พะเยา!N290+พิจิตร!N290+พิษณุโลก!N290+เพชรบูรณ์!N290+แพร่!N290+แม่ฮ่องสอน!N290+ลำปาง!N290+ลำพูน!N290+สุโขทัย!N290+อุตรดิตถ์!N290+อุทัยธานี!N290</f>
        <v>50045</v>
      </c>
      <c r="O290" s="151">
        <f t="shared" ref="O290:O292" ca="1" si="66">IF(L290&gt;0,N290*100/L290,0)</f>
        <v>41.441702550513412</v>
      </c>
      <c r="P290" s="151">
        <f t="shared" ref="P290:P292" ca="1" si="67">IF(M290&gt;0,N290*100/M290,0)</f>
        <v>41.441702550513412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>กำแพงเพชร!L291+เชียงราย!L291+เชียงใหม่!L291+ตาก!L291+นครสวรรค์!L291+น่าน!L291+พะเยา!L291+พิจิตร!L291+พิษณุโลก!L291+เพชรบูรณ์!L291+แพร่!L291+แม่ฮ่องสอน!L291+ลำปาง!L291+ลำพูน!L291+สุโขทัย!L291+อุตรดิตถ์!L291+อุทัยธานี!L291</f>
        <v>0</v>
      </c>
      <c r="M291" s="88">
        <f>กำแพงเพชร!M291+เชียงราย!M291+เชียงใหม่!M291+ตาก!M291+นครสวรรค์!M291+น่าน!M291+พะเยา!M291+พิจิตร!M291+พิษณุโลก!M291+เพชรบูรณ์!M291+แพร่!M291+แม่ฮ่องสอน!M291+ลำปาง!M291+ลำพูน!M291+สุโขทัย!M291+อุตรดิตถ์!M291+อุทัยธานี!M291</f>
        <v>0</v>
      </c>
      <c r="N291" s="88">
        <f>กำแพงเพชร!N291+เชียงราย!N291+เชียงใหม่!N291+ตาก!N291+นครสวรรค์!N291+น่าน!N291+พะเยา!N291+พิจิตร!N291+พิษณุโลก!N291+เพชรบูรณ์!N291+แพร่!N291+แม่ฮ่องสอน!N291+ลำปาง!N291+ลำพูน!N291+สุโขทัย!N291+อุตรดิตถ์!N291+อุทัย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ca="1">กำแพงเพชร!L292+เชียงราย!L292+เชียงใหม่!L292+ตาก!L292+นครสวรรค์!L292+น่าน!L292+พะเยา!L292+พิจิตร!L292+พิษณุโลก!L292+เพชรบูรณ์!L292+แพร่!L292+แม่ฮ่องสอน!L292+ลำปาง!L292+ลำพูน!L292+สุโขทัย!L292+อุตรดิตถ์!L292+อุทัยธานี!L292</f>
        <v>120760</v>
      </c>
      <c r="M292" s="88">
        <f ca="1">กำแพงเพชร!M292+เชียงราย!M292+เชียงใหม่!M292+ตาก!M292+นครสวรรค์!M292+น่าน!M292+พะเยา!M292+พิจิตร!M292+พิษณุโลก!M292+เพชรบูรณ์!M292+แพร่!M292+แม่ฮ่องสอน!M292+ลำปาง!M292+ลำพูน!M292+สุโขทัย!M292+อุตรดิตถ์!M292+อุทัยธานี!M292</f>
        <v>120760</v>
      </c>
      <c r="N292" s="88">
        <f ca="1">กำแพงเพชร!N292+เชียงราย!N292+เชียงใหม่!N292+ตาก!N292+นครสวรรค์!N292+น่าน!N292+พะเยา!N292+พิจิตร!N292+พิษณุโลก!N292+เพชรบูรณ์!N292+แพร่!N292+แม่ฮ่องสอน!N292+ลำปาง!N292+ลำพูน!N292+สุโขทัย!N292+อุตรดิตถ์!N292+อุทัยธานี!N292</f>
        <v>50045</v>
      </c>
      <c r="O292" s="156">
        <f t="shared" ca="1" si="66"/>
        <v>41.441702550513412</v>
      </c>
      <c r="P292" s="156">
        <f t="shared" ca="1" si="67"/>
        <v>41.441702550513412</v>
      </c>
    </row>
    <row r="293" spans="1:16" ht="21.75" customHeight="1" x14ac:dyDescent="0.45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f>กำแพงเพชร!L293+เชียงราย!L293+เชียงใหม่!L293+ตาก!L293+นครสวรรค์!L293+น่าน!L293+พะเยา!L293+พิจิตร!L293+พิษณุโลก!L293+เพชรบูรณ์!L293+แพร่!L293+แม่ฮ่องสอน!L293+ลำปาง!L293+ลำพูน!L293+สุโขทัย!L293+อุตรดิตถ์!L293+อุทัยธานี!L293</f>
        <v>0</v>
      </c>
      <c r="M293" s="164">
        <f>กำแพงเพชร!M293+เชียงราย!M293+เชียงใหม่!M293+ตาก!M293+นครสวรรค์!M293+น่าน!M293+พะเยา!M293+พิจิตร!M293+พิษณุโลก!M293+เพชรบูรณ์!M293+แพร่!M293+แม่ฮ่องสอน!M293+ลำปาง!M293+ลำพูน!M293+สุโขทัย!M293+อุตรดิตถ์!M293+อุทัยธานี!M293</f>
        <v>0</v>
      </c>
      <c r="N293" s="164">
        <f>กำแพงเพชร!N293+เชียงราย!N293+เชียงใหม่!N293+ตาก!N293+นครสวรรค์!N293+น่าน!N293+พะเยา!N293+พิจิตร!N293+พิษณุโลก!N293+เพชรบูรณ์!N293+แพร่!N293+แม่ฮ่องสอน!N293+ลำปาง!N293+ลำพูน!N293+สุโขทัย!N293+อุตรดิตถ์!N293+อุทัยธานี!N293</f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กำแพงเพชร!L294+เชียงราย!L294+เชียงใหม่!L294+ตาก!L294+นครสวรรค์!L294+น่าน!L294+พะเยา!L294+พิจิตร!L294+พิษณุโลก!L294+เพชรบูรณ์!L294+แพร่!L294+แม่ฮ่องสอน!L294+ลำปาง!L294+ลำพูน!L294+สุโขทัย!L294+อุตรดิตถ์!L294+อุทัยธานี!L294</f>
        <v>120760</v>
      </c>
      <c r="M294" s="167">
        <f ca="1">กำแพงเพชร!M294+เชียงราย!M294+เชียงใหม่!M294+ตาก!M294+นครสวรรค์!M294+น่าน!M294+พะเยา!M294+พิจิตร!M294+พิษณุโลก!M294+เพชรบูรณ์!M294+แพร่!M294+แม่ฮ่องสอน!M294+ลำปาง!M294+ลำพูน!M294+สุโขทัย!M294+อุตรดิตถ์!M294+อุทัยธานี!M294</f>
        <v>120760</v>
      </c>
      <c r="N294" s="168">
        <f ca="1">กำแพงเพชร!N294+เชียงราย!N294+เชียงใหม่!N294+ตาก!N294+นครสวรรค์!N294+น่าน!N294+พะเยา!N294+พิจิตร!N294+พิษณุโลก!N294+เพชรบูรณ์!N294+แพร่!N294+แม่ฮ่องสอน!N294+ลำปาง!N294+ลำพูน!N294+สุโขทัย!N294+อุตรดิตถ์!N294+อุทัยธานี!N294</f>
        <v>50045</v>
      </c>
      <c r="O294" s="168">
        <f ca="1">IF(L294&gt;0,N294*100/L294,0)</f>
        <v>41.441702550513412</v>
      </c>
      <c r="P294" s="168">
        <f ca="1">IF(M294&gt;0,N294*100/M294,0)</f>
        <v>41.441702550513412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กำแพงเพชร!L295+เชียงราย!L295+เชียงใหม่!L295+ตาก!L295+นครสวรรค์!L295+น่าน!L295+พะเยา!L295+พิจิตร!L295+พิษณุโลก!L295+เพชรบูรณ์!L295+แพร่!L295+แม่ฮ่องสอน!L295+ลำปาง!L295+ลำพูน!L295+สุโขทัย!L295+อุตรดิตถ์!L295+อุทัยธานี!L295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120760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4"/>
      <c r="L297" s="42">
        <f>กำแพงเพชร!L297+เชียงราย!L297+เชียงใหม่!L297+ตาก!L297+นครสวรรค์!L297+น่าน!L297+พะเยา!L297+พิจิตร!L297+พิษณุโลก!L297+เพชรบูรณ์!L297+แพร่!L297+แม่ฮ่องสอน!L297+ลำปาง!L297+ลำพูน!L297+สุโขทัย!L297+อุตรดิตถ์!L297+อุทัยธานี!L297</f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50"/>
      <c r="N298" s="50">
        <f ca="1">กำแพงเพชร!N298+เชียงราย!N298+เชียงใหม่!N298+ตาก!N298+นครสวรรค์!N298+น่าน!N298+พะเยา!N298+พิจิตร!N298+พิษณุโลก!N298+เพชรบูรณ์!N298+แพร่!N298+แม่ฮ่องสอน!N298+ลำปาง!N298+ลำพูน!N298+สุโขทัย!N298+อุตรดิตถ์!N298+อุทัยธานี!N298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กำแพงเพชร!J300+เชียงราย!J300+เชียงใหม่!J300+ตาก!J300+นครสวรรค์!J300+น่าน!J300+พะเยา!J300+พิจิตร!J300+พิษณุโลก!J300+เพชรบูรณ์!J300+แพร่!J300+แม่ฮ่องสอน!J300+ลำปาง!J300+ลำพูน!J300+สุโขทัย!J300+อุตรดิตถ์!J300+อุทัยธานี!J300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กำแพงเพชร!J301+เชียงราย!J301+เชียงใหม่!J301+ตาก!J301+นครสวรรค์!J301+น่าน!J301+พะเยา!J301+พิจิตร!J301+พิษณุโลก!J301+เพชรบูรณ์!J301+แพร่!J301+แม่ฮ่องสอน!J301+ลำปาง!J301+ลำพูน!J301+สุโขทัย!J301+อุตรดิตถ์!J301+อุทัยธานี!J301</f>
        <v>1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กำแพงเพชร!J302+เชียงราย!J302+เชียงใหม่!J302+ตาก!J302+นครสวรรค์!J302+น่าน!J302+พะเยา!J302+พิจิตร!J302+พิษณุโลก!J302+เพชรบูรณ์!J302+แพร่!J302+แม่ฮ่องสอน!J302+ลำปาง!J302+ลำพูน!J302+สุโขทัย!J302+อุตรดิตถ์!J302+อุทัยธานี!J302</f>
        <v>1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กำแพงเพชร!J303+เชียงราย!J303+เชียงใหม่!J303+ตาก!J303+นครสวรรค์!J303+น่าน!J303+พะเยา!J303+พิจิตร!J303+พิษณุโลก!J303+เพชรบูรณ์!J303+แพร่!J303+แม่ฮ่องสอน!J303+ลำปาง!J303+ลำพูน!J303+สุโขทัย!J303+อุตรดิตถ์!J303+อุทัยธานี!J303</f>
        <v>1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กำแพงเพชร!I304+เชียงราย!I304+เชียงใหม่!I304+ตาก!I304+นครสวรรค์!I304+น่าน!I304+พะเยา!I304+พิจิตร!I304+พิษณุโลก!I304+เพชรบูรณ์!I304+แพร่!I304+แม่ฮ่องสอน!I304+ลำปาง!I304+ลำพูน!I304+สุโขทัย!I304+อุตรดิตถ์!I304+อุทัยธานี!I304</f>
        <v>40</v>
      </c>
      <c r="J304" s="203">
        <f ca="1">กำแพงเพชร!J304+เชียงราย!J304+เชียงใหม่!J304+ตาก!J304+นครสวรรค์!J304+น่าน!J304+พะเยา!J304+พิจิตร!J304+พิษณุโลก!J304+เพชรบูรณ์!J304+แพร่!J304+แม่ฮ่องสอน!J304+ลำปาง!J304+ลำพูน!J304+สุโขทัย!J304+อุตรดิตถ์!J304+อุทัยธานี!J304</f>
        <v>40</v>
      </c>
      <c r="K304" s="224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กำแพงเพชร!I306+เชียงราย!I306+เชียงใหม่!I306+ตาก!I306+นครสวรรค์!I306+น่าน!I306+พะเยา!I306+พิจิตร!I306+พิษณุโลก!I306+เพชรบูรณ์!I306+แพร่!I306+แม่ฮ่องสอน!I306+ลำปาง!I306+ลำพูน!I306+สุโขทัย!I306+อุตรดิตถ์!I306+อุทัยธานี!I306</f>
        <v>40</v>
      </c>
      <c r="J306" s="203">
        <f ca="1">กำแพงเพชร!J306+เชียงราย!J306+เชียงใหม่!J306+ตาก!J306+นครสวรรค์!J306+น่าน!J306+พะเยา!J306+พิจิตร!J306+พิษณุโลก!J306+เพชรบูรณ์!J306+แพร่!J306+แม่ฮ่องสอน!J306+ลำปาง!J306+ลำพูน!J306+สุโขทัย!J306+อุตรดิตถ์!J306+อุทัยธานี!J306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IFERROR(__xludf.DUMMYFUNCTION("IMPORTRANGE(""https://docs.google.com/spreadsheets/d/1SX6NBoVAgQJ6U1MVXOaj8PK2l7WJ3RER9xtqwdhxkhw/edit?usp=sharing"",""กาญจนบุรี!J212"")"),0)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กำแพงเพชร!I309+เชียงราย!I309+เชียงใหม่!I309+ตาก!I309+นครสวรรค์!I309+น่าน!I309+พะเยา!I309+พิจิตร!I309+พิษณุโลก!I309+เพชรบูรณ์!I309+แพร่!I309+แม่ฮ่องสอน!I309+ลำปาง!I309+ลำพูน!I309+สุโขทัย!I309+อุตรดิตถ์!I309+อุทัยธานี!I309</f>
        <v>8</v>
      </c>
      <c r="J309" s="333">
        <f ca="1"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8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6"/>
      <c r="J310" s="336"/>
      <c r="K310" s="337"/>
      <c r="L310" s="152">
        <f ca="1">กำแพงเพชร!L310+เชียงราย!L310+เชียงใหม่!L310+ตาก!L310+นครสวรรค์!L310+น่าน!L310+พะเยา!L310+พิจิตร!L310+พิษณุโลก!L310+เพชรบูรณ์!L310+แพร่!L310+แม่ฮ่องสอน!L310+ลำปาง!L310+ลำพูน!L310+สุโขทัย!L310+อุตรดิตถ์!L310+อุทัยธานี!L310</f>
        <v>772800</v>
      </c>
      <c r="M310" s="152">
        <f ca="1">กำแพงเพชร!M310+เชียงราย!M310+เชียงใหม่!M310+ตาก!M310+นครสวรรค์!M310+น่าน!M310+พะเยา!M310+พิจิตร!M310+พิษณุโลก!M310+เพชรบูรณ์!M310+แพร่!M310+แม่ฮ่องสอน!M310+ลำปาง!M310+ลำพูน!M310+สุโขทัย!M310+อุตรดิตถ์!M310+อุทัยธานี!M310</f>
        <v>767200</v>
      </c>
      <c r="N310" s="152">
        <f ca="1">กำแพงเพชร!N310+เชียงราย!N310+เชียงใหม่!N310+ตาก!N310+นครสวรรค์!N310+น่าน!N310+พะเยา!N310+พิจิตร!N310+พิษณุโลก!N310+เพชรบูรณ์!N310+แพร่!N310+แม่ฮ่องสอน!N310+ลำปาง!N310+ลำพูน!N310+สุโขทัย!N310+อุตรดิตถ์!N310+อุทัยธานี!N310</f>
        <v>499527.58999999997</v>
      </c>
      <c r="O310" s="151">
        <f t="shared" ref="O310:O312" ca="1" si="68">IF(L310&gt;0,N310*100/L310,0)</f>
        <v>64.638663302277436</v>
      </c>
      <c r="P310" s="151">
        <f t="shared" ref="P310:P312" ca="1" si="69">IF(M310&gt;0,N310*100/M310,0)</f>
        <v>65.110478362877998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>กำแพงเพชร!L311+เชียงราย!L311+เชียงใหม่!L311+ตาก!L311+นครสวรรค์!L311+น่าน!L311+พะเยา!L311+พิจิตร!L311+พิษณุโลก!L311+เพชรบูรณ์!L311+แพร่!L311+แม่ฮ่องสอน!L311+ลำปาง!L311+ลำพูน!L311+สุโขทัย!L311+อุตรดิตถ์!L311+อุทัยธานี!L311</f>
        <v>0</v>
      </c>
      <c r="M311" s="88">
        <f>กำแพงเพชร!M311+เชียงราย!M311+เชียงใหม่!M311+ตาก!M311+นครสวรรค์!M311+น่าน!M311+พะเยา!M311+พิจิตร!M311+พิษณุโลก!M311+เพชรบูรณ์!M311+แพร่!M311+แม่ฮ่องสอน!M311+ลำปาง!M311+ลำพูน!M311+สุโขทัย!M311+อุตรดิตถ์!M311+อุทัยธานี!M311</f>
        <v>0</v>
      </c>
      <c r="N311" s="88">
        <f>กำแพงเพชร!N311+เชียงราย!N311+เชียงใหม่!N311+ตาก!N311+นครสวรรค์!N311+น่าน!N311+พะเยา!N311+พิจิตร!N311+พิษณุโลก!N311+เพชรบูรณ์!N311+แพร่!N311+แม่ฮ่องสอน!N311+ลำปาง!N311+ลำพูน!N311+สุโขทัย!N311+อุตรดิตถ์!N311+อุทัย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ca="1">กำแพงเพชร!L312+เชียงราย!L312+เชียงใหม่!L312+ตาก!L312+นครสวรรค์!L312+น่าน!L312+พะเยา!L312+พิจิตร!L312+พิษณุโลก!L312+เพชรบูรณ์!L312+แพร่!L312+แม่ฮ่องสอน!L312+ลำปาง!L312+ลำพูน!L312+สุโขทัย!L312+อุตรดิตถ์!L312+อุทัยธานี!L312</f>
        <v>772800</v>
      </c>
      <c r="M312" s="88">
        <f ca="1">กำแพงเพชร!M312+เชียงราย!M312+เชียงใหม่!M312+ตาก!M312+นครสวรรค์!M312+น่าน!M312+พะเยา!M312+พิจิตร!M312+พิษณุโลก!M312+เพชรบูรณ์!M312+แพร่!M312+แม่ฮ่องสอน!M312+ลำปาง!M312+ลำพูน!M312+สุโขทัย!M312+อุตรดิตถ์!M312+อุทัยธานี!M312</f>
        <v>767200</v>
      </c>
      <c r="N312" s="88">
        <f ca="1">กำแพงเพชร!N312+เชียงราย!N312+เชียงใหม่!N312+ตาก!N312+นครสวรรค์!N312+น่าน!N312+พะเยา!N312+พิจิตร!N312+พิษณุโลก!N312+เพชรบูรณ์!N312+แพร่!N312+แม่ฮ่องสอน!N312+ลำปาง!N312+ลำพูน!N312+สุโขทัย!N312+อุตรดิตถ์!N312+อุทัยธานี!N312</f>
        <v>499527.58999999997</v>
      </c>
      <c r="O312" s="156">
        <f t="shared" ca="1" si="68"/>
        <v>64.638663302277436</v>
      </c>
      <c r="P312" s="156">
        <f t="shared" ca="1" si="69"/>
        <v>65.110478362877998</v>
      </c>
    </row>
    <row r="313" spans="1:16" ht="21.75" customHeight="1" x14ac:dyDescent="0.45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ำแพงเพชร!L313+เชียงราย!L313+เชียงใหม่!L313+ตาก!L313+นครสวรรค์!L313+น่าน!L313+พะเยา!L313+พิจิตร!L313+พิษณุโลก!L313+เพชรบูรณ์!L313+แพร่!L313+แม่ฮ่องสอน!L313+ลำปาง!L313+ลำพูน!L313+สุโขทัย!L313+อุตรดิตถ์!L313+อุทัยธานี!L313</f>
        <v>0</v>
      </c>
      <c r="M313" s="164">
        <f>กำแพงเพชร!M313+เชียงราย!M313+เชียงใหม่!M313+ตาก!M313+นครสวรรค์!M313+น่าน!M313+พะเยา!M313+พิจิตร!M313+พิษณุโลก!M313+เพชรบูรณ์!M313+แพร่!M313+แม่ฮ่องสอน!M313+ลำปาง!M313+ลำพูน!M313+สุโขทัย!M313+อุตรดิตถ์!M313+อุทัยธานี!M313</f>
        <v>0</v>
      </c>
      <c r="N313" s="164">
        <f>กำแพงเพชร!N313+เชียงราย!N313+เชียงใหม่!N313+ตาก!N313+นครสวรรค์!N313+น่าน!N313+พะเยา!N313+พิจิตร!N313+พิษณุโลก!N313+เพชรบูรณ์!N313+แพร่!N313+แม่ฮ่องสอน!N313+ลำปาง!N313+ลำพูน!N313+สุโขทัย!N313+อุตรดิตถ์!N313+อุทัยธานี!N313</f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กำแพงเพชร!L314+เชียงราย!L314+เชียงใหม่!L314+ตาก!L314+นครสวรรค์!L314+น่าน!L314+พะเยา!L314+พิจิตร!L314+พิษณุโลก!L314+เพชรบูรณ์!L314+แพร่!L314+แม่ฮ่องสอน!L314+ลำปาง!L314+ลำพูน!L314+สุโขทัย!L314+อุตรดิตถ์!L314+อุทัยธานี!L314</f>
        <v>772800</v>
      </c>
      <c r="M314" s="167">
        <f ca="1">กำแพงเพชร!M314+เชียงราย!M314+เชียงใหม่!M314+ตาก!M314+นครสวรรค์!M314+น่าน!M314+พะเยา!M314+พิจิตร!M314+พิษณุโลก!M314+เพชรบูรณ์!M314+แพร่!M314+แม่ฮ่องสอน!M314+ลำปาง!M314+ลำพูน!M314+สุโขทัย!M314+อุตรดิตถ์!M314+อุทัยธานี!M314</f>
        <v>767200</v>
      </c>
      <c r="N314" s="168">
        <f ca="1">กำแพงเพชร!N314+เชียงราย!N314+เชียงใหม่!N314+ตาก!N314+นครสวรรค์!N314+น่าน!N314+พะเยา!N314+พิจิตร!N314+พิษณุโลก!N314+เพชรบูรณ์!N314+แพร่!N314+แม่ฮ่องสอน!N314+ลำปาง!N314+ลำพูน!N314+สุโขทัย!N314+อุตรดิตถ์!N314+อุทัยธานี!N314</f>
        <v>499527.58999999997</v>
      </c>
      <c r="O314" s="168">
        <f ca="1">IF(L314&gt;0,N314*100/L314,0)</f>
        <v>64.638663302277436</v>
      </c>
      <c r="P314" s="168">
        <f ca="1">IF(M314&gt;0,N314*100/M314,0)</f>
        <v>65.110478362877998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กำแพงเพชร!L315+เชียงราย!L315+เชียงใหม่!L315+ตาก!L315+นครสวรรค์!L315+น่าน!L315+พะเยา!L315+พิจิตร!L315+พิษณุโลก!L315+เพชรบูรณ์!L315+แพร่!L315+แม่ฮ่องสอน!L315+ลำปาง!L315+ลำพูน!L315+สุโขทัย!L315+อุตรดิตถ์!L315+อุทัยธานี!L315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กำแพงเพชร!L316+เชียงราย!L316+เชียงใหม่!L316+ตาก!L316+นครสวรรค์!L316+น่าน!L316+พะเยา!L316+พิจิตร!L316+พิษณุโลก!L316+เพชรบูรณ์!L316+แพร่!L316+แม่ฮ่องสอน!L316+ลำปาง!L316+ลำพูน!L316+สุโขทัย!L316+อุตรดิตถ์!L316+อุทัยธานี!L316</f>
        <v>772800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4"/>
      <c r="L317" s="42">
        <f>กำแพงเพชร!L317+เชียงราย!L317+เชียงใหม่!L317+ตาก!L317+นครสวรรค์!L317+น่าน!L317+พะเยา!L317+พิจิตร!L317+พิษณุโลก!L317+เพชรบูรณ์!L317+แพร่!L317+แม่ฮ่องสอน!L317+ลำปาง!L317+ลำพูน!L317+สุโขทัย!L317+อุตรดิตถ์!L317+อุทัยธานี!L317</f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กำแพงเพชร!L318+เชียงราย!L318+เชียงใหม่!L318+ตาก!L318+นครสวรรค์!L318+น่าน!L318+พะเยา!L318+พิจิตร!L318+พิษณุโลก!L318+เพชรบูรณ์!L318+แพร่!L318+แม่ฮ่องสอน!L318+ลำปาง!L318+ลำพูน!L318+สุโขทัย!L318+อุตรดิตถ์!L318+อุทัยธานี!L318</f>
        <v>0</v>
      </c>
      <c r="M318" s="50"/>
      <c r="N318" s="50">
        <f ca="1">กำแพงเพชร!N318+เชียงราย!N318+เชียงใหม่!N318+ตาก!N318+นครสวรรค์!N318+น่าน!N318+พะเยา!N318+พิจิตร!N318+พิษณุโลก!N318+เพชรบูรณ์!N318+แพร่!N318+แม่ฮ่องสอน!N318+ลำปาง!N318+ลำพูน!N318+สุโขทัย!N318+อุตรดิตถ์!N318+อุทัยธานี!N318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3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2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3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8</v>
      </c>
      <c r="J324" s="203">
        <f ca="1"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8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กำแพงเพชร!I328+เชียงราย!I328+เชียงใหม่!I328+ตาก!I328+นครสวรรค์!I328+น่าน!I328+พะเยา!I328+พิจิตร!I328+พิษณุโลก!I328+เพชรบูรณ์!I328+แพร่!I328+แม่ฮ่องสอน!I328+ลำปาง!I328+ลำพูน!I328+สุโขทัย!I328+อุตรดิตถ์!I328+อุทัยธานี!I328</f>
        <v>7949</v>
      </c>
      <c r="J328" s="339">
        <f ca="1"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3221</v>
      </c>
      <c r="K328" s="317">
        <f ca="1">IF(I328&gt;0,J328*100/I328,0)</f>
        <v>40.520820228959614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ca="1">กำแพงเพชร!L329+เชียงราย!L329+เชียงใหม่!L329+ตาก!L329+นครสวรรค์!L329+น่าน!L329+พะเยา!L329+พิจิตร!L329+พิษณุโลก!L329+เพชรบูรณ์!L329+แพร่!L329+แม่ฮ่องสอน!L329+ลำปาง!L329+ลำพูน!L329+สุโขทัย!L329+อุตรดิตถ์!L329+อุทัยธานี!L329</f>
        <v>17870810</v>
      </c>
      <c r="M329" s="152">
        <f ca="1">กำแพงเพชร!M329+เชียงราย!M329+เชียงใหม่!M329+ตาก!M329+นครสวรรค์!M329+น่าน!M329+พะเยา!M329+พิจิตร!M329+พิษณุโลก!M329+เพชรบูรณ์!M329+แพร่!M329+แม่ฮ่องสอน!M329+ลำปาง!M329+ลำพูน!M329+สุโขทัย!M329+อุตรดิตถ์!M329+อุทัยธานี!M329</f>
        <v>13910950</v>
      </c>
      <c r="N329" s="152">
        <f ca="1">กำแพงเพชร!N329+เชียงราย!N329+เชียงใหม่!N329+ตาก!N329+นครสวรรค์!N329+น่าน!N329+พะเยา!N329+พิจิตร!N329+พิษณุโลก!N329+เพชรบูรณ์!N329+แพร่!N329+แม่ฮ่องสอน!N329+ลำปาง!N329+ลำพูน!N329+สุโขทัย!N329+อุตรดิตถ์!N329+อุทัยธานี!N329</f>
        <v>11106933.32</v>
      </c>
      <c r="O329" s="151">
        <f t="shared" ref="O329:O331" ca="1" si="70">IF(L329&gt;0,N329*100/L329,0)</f>
        <v>62.151258504790775</v>
      </c>
      <c r="P329" s="151">
        <f t="shared" ref="P329:P331" ca="1" si="71">IF(M329&gt;0,N329*100/M329,0)</f>
        <v>79.843097128521052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0</v>
      </c>
      <c r="M330" s="88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0</v>
      </c>
      <c r="N330" s="88">
        <f>กำแพงเพชร!N330+เชียงราย!N330+เชียงใหม่!N330+ตาก!N330+นครสวรรค์!N330+น่าน!N330+พะเยา!N330+พิจิตร!N330+พิษณุโลก!N330+เพชรบูรณ์!N330+แพร่!N330+แม่ฮ่องสอน!N330+ลำปาง!N330+ลำพูน!N330+สุโขทัย!N330+อุตรดิตถ์!N330+อุทัย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ca="1"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17870810</v>
      </c>
      <c r="M331" s="88">
        <f ca="1"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13910950</v>
      </c>
      <c r="N331" s="88">
        <f ca="1">กำแพงเพชร!N331+เชียงราย!N331+เชียงใหม่!N331+ตาก!N331+นครสวรรค์!N331+น่าน!N331+พะเยา!N331+พิจิตร!N331+พิษณุโลก!N331+เพชรบูรณ์!N331+แพร่!N331+แม่ฮ่องสอน!N331+ลำปาง!N331+ลำพูน!N331+สุโขทัย!N331+อุตรดิตถ์!N331+อุทัยธานี!N331</f>
        <v>11106933.32</v>
      </c>
      <c r="O331" s="156">
        <f t="shared" ca="1" si="70"/>
        <v>62.151258504790775</v>
      </c>
      <c r="P331" s="156">
        <f t="shared" ca="1" si="71"/>
        <v>79.843097128521052</v>
      </c>
    </row>
    <row r="332" spans="1:16" ht="21.75" customHeight="1" x14ac:dyDescent="0.45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0</v>
      </c>
      <c r="M332" s="164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0</v>
      </c>
      <c r="N332" s="164">
        <f>กำแพงเพชร!N332+เชียงราย!N332+เชียงใหม่!N332+ตาก!N332+นครสวรรค์!N332+น่าน!N332+พะเยา!N332+พิจิตร!N332+พิษณุโลก!N332+เพชรบูรณ์!N332+แพร่!N332+แม่ฮ่องสอน!N332+ลำปาง!N332+ลำพูน!N332+สุโขทัย!N332+อุตรดิตถ์!N332+อุทัยธานี!N332</f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17064990</v>
      </c>
      <c r="M333" s="167">
        <f ca="1"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13105130</v>
      </c>
      <c r="N333" s="168">
        <f ca="1">กำแพงเพชร!N333+เชียงราย!N333+เชียงใหม่!N333+ตาก!N333+นครสวรรค์!N333+น่าน!N333+พะเยา!N333+พิจิตร!N333+พิษณุโลก!N333+เพชรบูรณ์!N333+แพร่!N333+แม่ฮ่องสอน!N333+ลำปาง!N333+ลำพูน!N333+สุโขทัย!N333+อุตรดิตถ์!N333+อุทัยธานี!N333</f>
        <v>10301113.32</v>
      </c>
      <c r="O333" s="168">
        <f ca="1">IF(L333&gt;0,N333*100/L333,0)</f>
        <v>60.364016152368094</v>
      </c>
      <c r="P333" s="168">
        <f ca="1">IF(M333&gt;0,N333*100/M333,0)</f>
        <v>78.603671386701237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8633300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กำแพงเพชร!L335+เชียงราย!L335+เชียงใหม่!L335+ตาก!L335+นครสวรรค์!L335+น่าน!L335+พะเยา!L335+พิจิตร!L335+พิษณุโลก!L335+เพชรบูรณ์!L335+แพร่!L335+แม่ฮ่องสอน!L335+ลำปาง!L335+ลำพูน!L335+สุโขทัย!L335+อุตรดิตถ์!L335+อุทัยธานี!L335</f>
        <v>8431690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f>กำแพงเพชร!L336+เชียงราย!L336+เชียงใหม่!L336+ตาก!L336+นครสวรรค์!L336+น่าน!L336+พะเยา!L336+พิจิตร!L336+พิษณุโลก!L336+เพชรบูรณ์!L336+แพร่!L336+แม่ฮ่องสอน!L336+ลำปาง!L336+ลำพูน!L336+สุโขทัย!L336+อุตรดิตถ์!L336+อุทัยธานี!L336</f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กำแพงเพชร!L337+เชียงราย!L337+เชียงใหม่!L337+ตาก!L337+นครสวรรค์!L337+น่าน!L337+พะเยา!L337+พิจิตร!L337+พิษณุโลก!L337+เพชรบูรณ์!L337+แพร่!L337+แม่ฮ่องสอน!L337+ลำปาง!L337+ลำพูน!L337+สุโขทัย!L337+อุตรดิตถ์!L337+อุทัยธานี!L337</f>
        <v>805820</v>
      </c>
      <c r="M337" s="50">
        <f ca="1">L337</f>
        <v>805820</v>
      </c>
      <c r="N337" s="50">
        <f ca="1">กำแพงเพชร!N337+เชียงราย!N337+เชียงใหม่!N337+ตาก!N337+นครสวรรค์!N337+น่าน!N337+พะเยา!N337+พิจิตร!N337+พิษณุโลก!N337+เพชรบูรณ์!N337+แพร่!N337+แม่ฮ่องสอน!N337+ลำปาง!N337+ลำพูน!N337+สุโขทัย!N337+อุตรดิตถ์!N337+อุทัยธานี!N337</f>
        <v>805820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กำแพงเพชร!I339+เชียงราย!I339+เชียงใหม่!I339+ตาก!I339+นครสวรรค์!I339+น่าน!I339+พะเยา!I339+พิจิตร!I339+พิษณุโลก!I339+เพชรบูรณ์!I339+แพร่!I339+แม่ฮ่องสอน!I339+ลำปาง!I339+ลำพูน!I339+สุโขทัย!I339+อุตรดิตถ์!I339+อุทัยธานี!I339</f>
        <v>0</v>
      </c>
      <c r="J339" s="187">
        <f ca="1">กำแพงเพชร!J339+เชียงราย!J339+เชียงใหม่!J339+ตาก!J339+นครสวรรค์!J339+น่าน!J339+พะเยา!J339+พิจิตร!J339+พิษณุโลก!J339+เพชรบูรณ์!J339+แพร่!J339+แม่ฮ่องสอน!J339+ลำปาง!J339+ลำพูน!J339+สุโขทัย!J339+อุตรดิตถ์!J339+อุทัยธานี!J339</f>
        <v>3436</v>
      </c>
      <c r="K339" s="342">
        <f t="shared" ref="K339:K346" ca="1" si="72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กำแพงเพชร!I340+เชียงราย!I340+เชียงใหม่!I340+ตาก!I340+นครสวรรค์!I340+น่าน!I340+พะเยา!I340+พิจิตร!I340+พิษณุโลก!I340+เพชรบูรณ์!I340+แพร่!I340+แม่ฮ่องสอน!I340+ลำปาง!I340+ลำพูน!I340+สุโขทัย!I340+อุตรดิตถ์!I340+อุทัยธานี!I340</f>
        <v>42110</v>
      </c>
      <c r="J340" s="187">
        <f ca="1"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24852.989999999983</v>
      </c>
      <c r="K340" s="342">
        <f t="shared" ca="1" si="72"/>
        <v>59.01921158869623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กำแพงเพชร!I341+เชียงราย!I341+เชียงใหม่!I341+ตาก!I341+นครสวรรค์!I341+น่าน!I341+พะเยา!I341+พิจิตร!I341+พิษณุโลก!I341+เพชรบูรณ์!I341+แพร่!I341+แม่ฮ่องสอน!I341+ลำปาง!I341+ลำพูน!I341+สุโขทัย!I341+อุตรดิตถ์!I341+อุทัยธานี!I341</f>
        <v>7949</v>
      </c>
      <c r="J341" s="187">
        <f ca="1"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4674</v>
      </c>
      <c r="K341" s="342">
        <f t="shared" ca="1" si="72"/>
        <v>58.799849037614791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กำแพงเพชร!I342+เชียงราย!I342+เชียงใหม่!I342+ตาก!I342+นครสวรรค์!I342+น่าน!I342+พะเยา!I342+พิจิตร!I342+พิษณุโลก!I342+เพชรบูรณ์!I342+แพร่!I342+แม่ฮ่องสอน!I342+ลำปาง!I342+ลำพูน!I342+สุโขทัย!I342+อุตรดิตถ์!I342+อุทัยธานี!I342</f>
        <v>0</v>
      </c>
      <c r="J342" s="187">
        <f ca="1"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42933.009999999995</v>
      </c>
      <c r="K342" s="342">
        <f t="shared" ca="1" si="72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กำแพงเพชร!I343+เชียงราย!I343+เชียงใหม่!I343+ตาก!I343+นครสวรรค์!I343+น่าน!I343+พะเยา!I343+พิจิตร!I343+พิษณุโลก!I343+เพชรบูรณ์!I343+แพร่!I343+แม่ฮ่องสอน!I343+ลำปาง!I343+ลำพูน!I343+สุโขทัย!I343+อุตรดิตถ์!I343+อุทัยธานี!I343</f>
        <v>7949</v>
      </c>
      <c r="J343" s="187">
        <f ca="1"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88</v>
      </c>
      <c r="K343" s="342">
        <f t="shared" ca="1" si="72"/>
        <v>1.1070574915083657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0</v>
      </c>
      <c r="J344" s="187">
        <f ca="1"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801.83999999999992</v>
      </c>
      <c r="K344" s="342">
        <f t="shared" ca="1" si="72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7949</v>
      </c>
      <c r="J345" s="187">
        <f ca="1"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3221</v>
      </c>
      <c r="K345" s="342">
        <f t="shared" ca="1" si="72"/>
        <v>40.520820228959614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0</v>
      </c>
      <c r="J346" s="187">
        <f ca="1"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29464.519999999979</v>
      </c>
      <c r="K346" s="350">
        <f t="shared" ca="1" si="72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กำแพงเพชร!L347+เชียงราย!L347+เชียงใหม่!L347+ตาก!L347+นครสวรรค์!L347+น่าน!L347+พะเยา!L347+พิจิตร!L347+พิษณุโลก!L347+เพชรบูรณ์!L347+แพร่!L347+แม่ฮ่องสอน!L347+ลำปาง!L347+ลำพูน!L347+สุโขทัย!L347+อุตรดิตถ์!L347+อุทัยธานี!L347</f>
        <v>40163984</v>
      </c>
      <c r="M347" s="357"/>
      <c r="N347" s="357">
        <f ca="1">กำแพงเพชร!N347+เชียงราย!N347+เชียงใหม่!N347+ตาก!N347+นครสวรรค์!N347+น่าน!N347+พะเยา!N347+พิจิตร!N347+พิษณุโลก!N347+เพชรบูรณ์!N347+แพร่!N347+แม่ฮ่องสอน!N347+ลำปาง!N347+ลำพูน!N347+สุโขทัย!N347+อุตรดิตถ์!N347+อุทัยธานี!N347</f>
        <v>16555970.139999997</v>
      </c>
      <c r="O347" s="357">
        <f ca="1">+IF(L347&gt;0,N347*100/L347,0)</f>
        <v>41.220936000771232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กำแพงเพชร!I349+เชียงราย!I349+เชียงใหม่!I349+ตาก!I349+นครสวรรค์!I349+น่าน!I349+พะเยา!I349+พิจิตร!I349+พิษณุโลก!I349+เพชรบูรณ์!I349+แพร่!I349+แม่ฮ่องสอน!I349+ลำปาง!I349+ลำพูน!I349+สุโขทัย!I349+อุตรดิตถ์!I349+อุทัยธานี!I349</f>
        <v>1850</v>
      </c>
      <c r="J349" s="370">
        <f ca="1"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1238</v>
      </c>
      <c r="K349" s="371">
        <f t="shared" ref="K349:K350" ca="1" si="73">IF(I349&gt;0,J349*100/I349,0)</f>
        <v>66.918918918918919</v>
      </c>
      <c r="L349" s="372">
        <f ca="1">กำแพงเพชร!L349+เชียงราย!L349+เชียงใหม่!L349+ตาก!L349+นครสวรรค์!L349+น่าน!L349+พะเยา!L349+พิจิตร!L349+พิษณุโลก!L349+เพชรบูรณ์!L349+แพร่!L349+แม่ฮ่องสอน!L349+ลำปาง!L349+ลำพูน!L349+สุโขทัย!L349+อุตรดิตถ์!L349+อุทัยธานี!L349</f>
        <v>5304900</v>
      </c>
      <c r="M349" s="372"/>
      <c r="N349" s="372">
        <f ca="1">กำแพงเพชร!N349+เชียงราย!N349+เชียงใหม่!N349+ตาก!N349+นครสวรรค์!N349+น่าน!N349+พะเยา!N349+พิจิตร!N349+พิษณุโลก!N349+เพชรบูรณ์!N349+แพร่!N349+แม่ฮ่องสอน!N349+ลำปาง!N349+ลำพูน!N349+สุโขทัย!N349+อุตรดิตถ์!N349+อุทัยธานี!N349</f>
        <v>3290996.77</v>
      </c>
      <c r="O349" s="372">
        <f ca="1">+IF(L349&gt;0,N349*100/L349,0)</f>
        <v>62.0369237874418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790</v>
      </c>
      <c r="J350" s="370">
        <f ca="1"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790</v>
      </c>
      <c r="K350" s="371">
        <f t="shared" ca="1" si="73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164"/>
      <c r="N351" s="164">
        <f ca="1">กำแพงเพชร!N351+เชียงราย!N351+เชียงใหม่!N351+ตาก!N351+นครสวรรค์!N351+น่าน!N351+พะเยา!N351+พิจิตร!N351+พิษณุโลก!N351+เพชรบูรณ์!N351+แพร่!N351+แม่ฮ่องสอน!N351+ลำปาง!N351+ลำพูน!N351+สุโขทัย!N351+อุตรดิตถ์!N351+อุทัย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5304900</v>
      </c>
      <c r="M352" s="165"/>
      <c r="N352" s="164">
        <f ca="1">กำแพงเพชร!N352+เชียงราย!N352+เชียงใหม่!N352+ตาก!N352+นครสวรรค์!N352+น่าน!N352+พะเยา!N352+พิจิตร!N352+พิษณุโลก!N352+เพชรบูรณ์!N352+แพร่!N352+แม่ฮ่องสอน!N352+ลำปาง!N352+ลำพูน!N352+สุโขทัย!N352+อุตรดิตถ์!N352+อุทัยธานี!N352</f>
        <v>3290996.77</v>
      </c>
      <c r="O352" s="165">
        <f t="shared" ca="1" si="74"/>
        <v>62.0369237874418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168"/>
      <c r="N353" s="168">
        <f ca="1">กำแพงเพชร!N353+เชียงราย!N353+เชียงใหม่!N353+ตาก!N353+นครสวรรค์!N353+น่าน!N353+พะเยา!N353+พิจิตร!N353+พิษณุโลก!N353+เพชรบูรณ์!N353+แพร่!N353+แม่ฮ่องสอน!N353+ลำปาง!N353+ลำพูน!N353+สุโขทัย!N353+อุตรดิตถ์!N353+อุทัยธานี!N353</f>
        <v>0</v>
      </c>
      <c r="O353" s="168">
        <f t="shared" ca="1" si="74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5304900</v>
      </c>
      <c r="M354" s="168"/>
      <c r="N354" s="167">
        <f ca="1">กำแพงเพชร!N354+เชียงราย!N354+เชียงใหม่!N354+ตาก!N354+นครสวรรค์!N354+น่าน!N354+พะเยา!N354+พิจิตร!N354+พิษณุโลก!N354+เพชรบูรณ์!N354+แพร่!N354+แม่ฮ่องสอน!N354+ลำปาง!N354+ลำพูน!N354+สุโขทัย!N354+อุตรดิตถ์!N354+อุทัยธานี!N354</f>
        <v>3290996.77</v>
      </c>
      <c r="O354" s="168">
        <f t="shared" ca="1" si="74"/>
        <v>62.0369237874418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กำแพงเพชร!N355+เชียงราย!N355+เชียงใหม่!N355+ตาก!N355+นครสวรรค์!N355+น่าน!N355+พะเยา!N355+พิจิตร!N355+พิษณุโลก!N355+เพชรบูรณ์!N355+แพร่!N355+แม่ฮ่องสอน!N355+ลำปาง!N355+ลำพูน!N355+สุโขทัย!N355+อุตรดิตถ์!N355+อุทัยธานี!N355</f>
        <v>834368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กำแพงเพชร!N356+เชียงราย!N356+เชียงใหม่!N356+ตาก!N356+นครสวรรค์!N356+น่าน!N356+พะเยา!N356+พิจิตร!N356+พิษณุโลก!N356+เพชรบูรณ์!N356+แพร่!N356+แม่ฮ่องสอน!N356+ลำปาง!N356+ลำพูน!N356+สุโขทัย!N356+อุตรดิตถ์!N356+อุทัยธานี!N356</f>
        <v>908338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กำแพงเพชร!N357+เชียงราย!N357+เชียงใหม่!N357+ตาก!N357+นครสวรรค์!N357+น่าน!N357+พะเยา!N357+พิจิตร!N357+พิษณุโลก!N357+เพชรบูรณ์!N357+แพร่!N357+แม่ฮ่องสอน!N357+ลำปาง!N357+ลำพูน!N357+สุโขทัย!N357+อุตรดิตถ์!N357+อุทัยธานี!N357</f>
        <v>1022162.87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กำแพงเพชร!N358+เชียงราย!N358+เชียงใหม่!N358+ตาก!N358+นครสวรรค์!N358+น่าน!N358+พะเยา!N358+พิจิตร!N358+พิษณุโลก!N358+เพชรบูรณ์!N358+แพร่!N358+แม่ฮ่องสอน!N358+ลำปาง!N358+ลำพูน!N358+สุโขทัย!N358+อุตรดิตถ์!N358+อุทัยธานี!N358</f>
        <v>526127.9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14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13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13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0</v>
      </c>
      <c r="K367" s="163">
        <f t="shared" ref="K367:K373" ca="1" si="75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790</v>
      </c>
      <c r="J368" s="187">
        <f ca="1"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790</v>
      </c>
      <c r="K368" s="163">
        <f t="shared" ca="1" si="75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0</v>
      </c>
      <c r="J369" s="203">
        <f ca="1"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163">
        <f t="shared" ca="1" si="75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กำแพงเพชร!I370+เชียงราย!I370+เชียงใหม่!I370+ตาก!I370+นครสวรรค์!I370+น่าน!I370+พะเยา!I370+พิจิตร!I370+พิษณุโลก!I370+เพชรบูรณ์!I370+แพร่!I370+แม่ฮ่องสอน!I370+ลำปาง!I370+ลำพูน!I370+สุโขทัย!I370+อุตรดิตถ์!I370+อุทัยธานี!I370</f>
        <v>790</v>
      </c>
      <c r="J370" s="203">
        <f ca="1"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710</v>
      </c>
      <c r="K370" s="163">
        <f t="shared" ca="1" si="75"/>
        <v>89.87341772151899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กำแพงเพชร!I371+เชียงราย!I371+เชียงใหม่!I371+ตาก!I371+นครสวรรค์!I371+น่าน!I371+พะเยา!I371+พิจิตร!I371+พิษณุโลก!I371+เพชรบูรณ์!I371+แพร่!I371+แม่ฮ่องสอน!I371+ลำปาง!I371+ลำพูน!I371+สุโขทัย!I371+อุตรดิตถ์!I371+อุทัยธานี!I371</f>
        <v>0</v>
      </c>
      <c r="J371" s="188">
        <f ca="1"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163">
        <f t="shared" ca="1" si="75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กำแพงเพชร!I372+เชียงราย!I372+เชียงใหม่!I372+ตาก!I372+นครสวรรค์!I372+น่าน!I372+พะเยา!I372+พิจิตร!I372+พิษณุโลก!I372+เพชรบูรณ์!I372+แพร่!I372+แม่ฮ่องสอน!I372+ลำปาง!I372+ลำพูน!I372+สุโขทัย!I372+อุตรดิตถ์!I372+อุทัยธานี!I372</f>
        <v>790</v>
      </c>
      <c r="J372" s="188">
        <f ca="1"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750</v>
      </c>
      <c r="K372" s="163">
        <f t="shared" ca="1" si="75"/>
        <v>94.936708860759495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กำแพงเพชร!I373+เชียงราย!I373+เชียงใหม่!I373+ตาก!I373+นครสวรรค์!I373+น่าน!I373+พะเยา!I373+พิจิตร!I373+พิษณุโลก!I373+เพชรบูรณ์!I373+แพร่!I373+แม่ฮ่องสอน!I373+ลำปาง!I373+ลำพูน!I373+สุโขทัย!I373+อุตรดิตถ์!I373+อุทัยธานี!I373</f>
        <v>0</v>
      </c>
      <c r="J373" s="203">
        <f ca="1"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163">
        <f t="shared" ca="1" si="75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กำแพงเพชร!I374+เชียงราย!I374+เชียงใหม่!I374+ตาก!I374+นครสวรรค์!I374+น่าน!I374+พะเยา!I374+พิจิตร!I374+พิษณุโลก!I374+เพชรบูรณ์!I374+แพร่!I374+แม่ฮ่องสอน!I374+ลำปาง!I374+ลำพูน!I374+สุโขทัย!I374+อุตรดิตถ์!I374+อุทัยธานี!I374</f>
        <v>0</v>
      </c>
      <c r="J374" s="187">
        <f ca="1"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กำแพงเพชร!I375+เชียงราย!I375+เชียงใหม่!I375+ตาก!I375+นครสวรรค์!I375+น่าน!I375+พะเยา!I375+พิจิตร!I375+พิษณุโลก!I375+เพชรบูรณ์!I375+แพร่!I375+แม่ฮ่องสอน!I375+ลำปาง!I375+ลำพูน!I375+สุโขทัย!I375+อุตรดิตถ์!I375+อุทัยธานี!I375</f>
        <v>1850</v>
      </c>
      <c r="J375" s="187">
        <f ca="1"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1238</v>
      </c>
      <c r="K375" s="163">
        <f t="shared" ref="K375:K377" ca="1" si="76">IF(I375&gt;0,J375*100/I375,0)</f>
        <v>66.918918918918919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768</v>
      </c>
      <c r="J376" s="188">
        <f ca="1"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611</v>
      </c>
      <c r="K376" s="163">
        <f t="shared" ca="1" si="76"/>
        <v>79.557291666666671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1082</v>
      </c>
      <c r="J377" s="203">
        <f ca="1"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627</v>
      </c>
      <c r="K377" s="163">
        <f t="shared" ca="1" si="76"/>
        <v>57.948243992606287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กำแพงเพชร!I380+เชียงราย!I380+เชียงใหม่!I380+ตาก!I380+นครสวรรค์!I380+น่าน!I380+พะเยา!I380+พิจิตร!I380+พิษณุโลก!I380+เพชรบูรณ์!I380+แพร่!I380+แม่ฮ่องสอน!I380+ลำปาง!I380+ลำพูน!I380+สุโขทัย!I380+อุตรดิตถ์!I380+อุทัยธานี!I380</f>
        <v>13500</v>
      </c>
      <c r="J380" s="370">
        <f ca="1"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1500</v>
      </c>
      <c r="K380" s="371">
        <f t="shared" ref="K380:K381" ca="1" si="77">IF(I380&gt;0,J380*100/I380,0)</f>
        <v>11.111111111111111</v>
      </c>
      <c r="L380" s="372">
        <f ca="1">กำแพงเพชร!L380+เชียงราย!L380+เชียงใหม่!L380+ตาก!L380+นครสวรรค์!L380+น่าน!L380+พะเยา!L380+พิจิตร!L380+พิษณุโลก!L380+เพชรบูรณ์!L380+แพร่!L380+แม่ฮ่องสอน!L380+ลำปาง!L380+ลำพูน!L380+สุโขทัย!L380+อุตรดิตถ์!L380+อุทัยธานี!L380</f>
        <v>13805300</v>
      </c>
      <c r="M380" s="372"/>
      <c r="N380" s="372">
        <f ca="1">กำแพงเพชร!N380+เชียงราย!N380+เชียงใหม่!N380+ตาก!N380+นครสวรรค์!N380+น่าน!N380+พะเยา!N380+พิจิตร!N380+พิษณุโลก!N380+เพชรบูรณ์!N380+แพร่!N380+แม่ฮ่องสอน!N380+ลำปาง!N380+ลำพูน!N380+สุโขทัย!N380+อุตรดิตถ์!N380+อุทัยธานี!N380</f>
        <v>3751780.5</v>
      </c>
      <c r="O380" s="372">
        <f ca="1">+IF(L380&gt;0,N380*100/L380,0)</f>
        <v>27.176377912830578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กำแพงเพชร!I381+เชียงราย!I381+เชียงใหม่!I381+ตาก!I381+นครสวรรค์!I381+น่าน!I381+พะเยา!I381+พิจิตร!I381+พิษณุโลก!I381+เพชรบูรณ์!I381+แพร่!I381+แม่ฮ่องสอน!I381+ลำปาง!I381+ลำพูน!I381+สุโขทัย!I381+อุตรดิตถ์!I381+อุทัยธานี!I381</f>
        <v>1350</v>
      </c>
      <c r="J381" s="370">
        <f ca="1"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1370</v>
      </c>
      <c r="K381" s="371">
        <f t="shared" ca="1" si="77"/>
        <v>101.48148148148148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ำแพงเพชร!L382+เชียงราย!L382+เชียงใหม่!L382+ตาก!L382+นครสวรรค์!L382+น่าน!L382+พะเยา!L382+พิจิตร!L382+พิษณุโลก!L382+เพชรบูรณ์!L382+แพร่!L382+แม่ฮ่องสอน!L382+ลำปาง!L382+ลำพูน!L382+สุโขทัย!L382+อุตรดิตถ์!L382+อุทัยธานี!L382</f>
        <v>0</v>
      </c>
      <c r="M382" s="164"/>
      <c r="N382" s="164">
        <f ca="1">กำแพงเพชร!N382+เชียงราย!N382+เชียงใหม่!N382+ตาก!N382+นครสวรรค์!N382+น่าน!N382+พะเยา!N382+พิจิตร!N382+พิษณุโลก!N382+เพชรบูรณ์!N382+แพร่!N382+แม่ฮ่องสอน!N382+ลำปาง!N382+ลำพูน!N382+สุโขทัย!N382+อุตรดิตถ์!N382+อุทัย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ำแพงเพชร!L383+เชียงราย!L383+เชียงใหม่!L383+ตาก!L383+นครสวรรค์!L383+น่าน!L383+พะเยา!L383+พิจิตร!L383+พิษณุโลก!L383+เพชรบูรณ์!L383+แพร่!L383+แม่ฮ่องสอน!L383+ลำปาง!L383+ลำพูน!L383+สุโขทัย!L383+อุตรดิตถ์!L383+อุทัยธานี!L383</f>
        <v>13805300</v>
      </c>
      <c r="M383" s="165"/>
      <c r="N383" s="165">
        <f ca="1">กำแพงเพชร!N383+เชียงราย!N383+เชียงใหม่!N383+ตาก!N383+นครสวรรค์!N383+น่าน!N383+พะเยา!N383+พิจิตร!N383+พิษณุโลก!N383+เพชรบูรณ์!N383+แพร่!N383+แม่ฮ่องสอน!N383+ลำปาง!N383+ลำพูน!N383+สุโขทัย!N383+อุตรดิตถ์!N383+อุทัยธานี!N383</f>
        <v>3751780.5</v>
      </c>
      <c r="O383" s="165">
        <f t="shared" ca="1" si="78"/>
        <v>27.176377912830578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กำแพงเพชร!L384+เชียงราย!L384+เชียงใหม่!L384+ตาก!L384+นครสวรรค์!L384+น่าน!L384+พะเยา!L384+พิจิตร!L384+พิษณุโลก!L384+เพชรบูรณ์!L384+แพร่!L384+แม่ฮ่องสอน!L384+ลำปาง!L384+ลำพูน!L384+สุโขทัย!L384+อุตรดิตถ์!L384+อุทัยธานี!L384</f>
        <v>0</v>
      </c>
      <c r="M384" s="168"/>
      <c r="N384" s="168">
        <f ca="1">กำแพงเพชร!N384+เชียงราย!N384+เชียงใหม่!N384+ตาก!N384+นครสวรรค์!N384+น่าน!N384+พะเยา!N384+พิจิตร!N384+พิษณุโลก!N384+เพชรบูรณ์!N384+แพร่!N384+แม่ฮ่องสอน!N384+ลำปาง!N384+ลำพูน!N384+สุโขทัย!N384+อุตรดิตถ์!N384+อุทัยธานี!N384</f>
        <v>0</v>
      </c>
      <c r="O384" s="168">
        <f t="shared" ca="1" si="78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กำแพงเพชร!L385+เชียงราย!L385+เชียงใหม่!L385+ตาก!L385+นครสวรรค์!L385+น่าน!L385+พะเยา!L385+พิจิตร!L385+พิษณุโลก!L385+เพชรบูรณ์!L385+แพร่!L385+แม่ฮ่องสอน!L385+ลำปาง!L385+ลำพูน!L385+สุโขทัย!L385+อุตรดิตถ์!L385+อุทัยธานี!L385</f>
        <v>13805300</v>
      </c>
      <c r="M385" s="168"/>
      <c r="N385" s="167">
        <f ca="1">กำแพงเพชร!N385+เชียงราย!N385+เชียงใหม่!N385+ตาก!N385+นครสวรรค์!N385+น่าน!N385+พะเยา!N385+พิจิตร!N385+พิษณุโลก!N385+เพชรบูรณ์!N385+แพร่!N385+แม่ฮ่องสอน!N385+ลำปาง!N385+ลำพูน!N385+สุโขทัย!N385+อุตรดิตถ์!N385+อุทัยธานี!N385</f>
        <v>3751780.5</v>
      </c>
      <c r="O385" s="168">
        <f t="shared" ca="1" si="78"/>
        <v>27.176377912830578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กำแพงเพชร!N386+เชียงราย!N386+เชียงใหม่!N386+ตาก!N386+นครสวรรค์!N386+น่าน!N386+พะเยา!N386+พิจิตร!N386+พิษณุโลก!N386+เพชรบูรณ์!N386+แพร่!N386+แม่ฮ่องสอน!N386+ลำปาง!N386+ลำพูน!N386+สุโขทัย!N386+อุตรดิตถ์!N386+อุทัยธานี!N386</f>
        <v>2266522.2000000002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กำแพงเพชร!N387+เชียงราย!N387+เชียงใหม่!N387+ตาก!N387+นครสวรรค์!N387+น่าน!N387+พะเยา!N387+พิจิตร!N387+พิษณุโลก!N387+เพชรบูรณ์!N387+แพร่!N387+แม่ฮ่องสอน!N387+ลำปาง!N387+ลำพูน!N387+สุโขทัย!N387+อุตรดิตถ์!N387+อุทัยธานี!N387</f>
        <v>312500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กำแพงเพชร!N388+เชียงราย!N388+เชียงใหม่!N388+ตาก!N388+นครสวรรค์!N388+น่าน!N388+พะเยา!N388+พิจิตร!N388+พิษณุโลก!N388+เพชรบูรณ์!N388+แพร่!N388+แม่ฮ่องสอน!N388+ลำปาง!N388+ลำพูน!N388+สุโขทัย!N388+อุตรดิตถ์!N388+อุทัยธานี!N388</f>
        <v>860885.05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กำแพงเพชร!N389+เชียงราย!N389+เชียงใหม่!N389+ตาก!N389+นครสวรรค์!N389+น่าน!N389+พะเยา!N389+พิจิตร!N389+พิษณุโลก!N389+เพชรบูรณ์!N389+แพร่!N389+แม่ฮ่องสอน!N389+ลำปาง!N389+ลำพูน!N389+สุโขทัย!N389+อุตรดิตถ์!N389+อุทัยธานี!N389</f>
        <v>311873.25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17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15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16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กำแพงเพชร!I396+เชียงราย!I396+เชียงใหม่!I396+ตาก!I396+นครสวรรค์!I396+น่าน!I396+พะเยา!I396+พิจิตร!I396+พิษณุโลก!I396+เพชรบูรณ์!I396+แพร่!I396+แม่ฮ่องสอน!I396+ลำปาง!I396+ลำพูน!I396+สุโขทัย!I396+อุตรดิตถ์!I396+อุทัยธานี!I396</f>
        <v>1350</v>
      </c>
      <c r="J396" s="197">
        <f ca="1"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1370</v>
      </c>
      <c r="K396" s="163">
        <f t="shared" ref="K396:K398" ca="1" si="79">IF(I396&gt;0,J396*100/I396,0)</f>
        <v>101.48148148148148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กำแพงเพชร!I397+เชียงราย!I397+เชียงใหม่!I397+ตาก!I397+นครสวรรค์!I397+น่าน!I397+พะเยา!I397+พิจิตร!I397+พิษณุโลก!I397+เพชรบูรณ์!I397+แพร่!I397+แม่ฮ่องสอน!I397+ลำปาง!I397+ลำพูน!I397+สุโขทัย!I397+อุตรดิตถ์!I397+อุทัยธานี!I397</f>
        <v>13500</v>
      </c>
      <c r="J397" s="197">
        <f ca="1"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1500</v>
      </c>
      <c r="K397" s="163">
        <f t="shared" ca="1" si="79"/>
        <v>11.111111111111111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กำแพงเพชร!I398+เชียงราย!I398+เชียงใหม่!I398+ตาก!I398+นครสวรรค์!I398+น่าน!I398+พะเยา!I398+พิจิตร!I398+พิษณุโลก!I398+เพชรบูรณ์!I398+แพร่!I398+แม่ฮ่องสอน!I398+ลำปาง!I398+ลำพูน!I398+สุโขทัย!I398+อุตรดิตถ์!I398+อุทัยธานี!I398</f>
        <v>1350</v>
      </c>
      <c r="J398" s="197">
        <f ca="1"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50</v>
      </c>
      <c r="K398" s="163">
        <f t="shared" ca="1" si="79"/>
        <v>3.7037037037037037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กำแพงเพชร!I401+เชียงราย!I401+เชียงใหม่!I401+ตาก!I401+นครสวรรค์!I401+น่าน!I401+พะเยา!I401+พิจิตร!I401+พิษณุโลก!I401+เพชรบูรณ์!I401+แพร่!I401+แม่ฮ่องสอน!I401+ลำปาง!I401+ลำพูน!I401+สุโขทัย!I401+อุตรดิตถ์!I401+อุทัยธานี!I401</f>
        <v>2871</v>
      </c>
      <c r="J401" s="370">
        <f ca="1"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2817</v>
      </c>
      <c r="K401" s="371">
        <f t="shared" ref="K401:K402" ca="1" si="80">IF(I401&gt;0,J401*100/I401,0)</f>
        <v>98.119122257053291</v>
      </c>
      <c r="L401" s="372">
        <f ca="1">กำแพงเพชร!L401+เชียงราย!L401+เชียงใหม่!L401+ตาก!L401+นครสวรรค์!L401+น่าน!L401+พะเยา!L401+พิจิตร!L401+พิษณุโลก!L401+เพชรบูรณ์!L401+แพร่!L401+แม่ฮ่องสอน!L401+ลำปาง!L401+ลำพูน!L401+สุโขทัย!L401+อุตรดิตถ์!L401+อุทัยธานี!L401</f>
        <v>3226520</v>
      </c>
      <c r="M401" s="372"/>
      <c r="N401" s="372">
        <f ca="1">กำแพงเพชร!N401+เชียงราย!N401+เชียงใหม่!N401+ตาก!N401+นครสวรรค์!N401+น่าน!N401+พะเยา!N401+พิจิตร!N401+พิษณุโลก!N401+เพชรบูรณ์!N401+แพร่!N401+แม่ฮ่องสอน!N401+ลำปาง!N401+ลำพูน!N401+สุโขทัย!N401+อุตรดิตถ์!N401+อุทัยธานี!N401</f>
        <v>2329049.4500000002</v>
      </c>
      <c r="O401" s="372">
        <f ca="1">+IF(L401&gt;0,N401*100/L401,0)</f>
        <v>72.184565724061841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กำแพงเพชร!I402+เชียงราย!I402+เชียงใหม่!I402+ตาก!I402+นครสวรรค์!I402+น่าน!I402+พะเยา!I402+พิจิตร!I402+พิษณุโลก!I402+เพชรบูรณ์!I402+แพร่!I402+แม่ฮ่องสอน!I402+ลำปาง!I402+ลำพูน!I402+สุโขทัย!I402+อุตรดิตถ์!I402+อุทัยธานี!I402</f>
        <v>957</v>
      </c>
      <c r="J402" s="370">
        <f ca="1"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864</v>
      </c>
      <c r="K402" s="371">
        <f t="shared" ca="1" si="80"/>
        <v>90.282131661442008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ำแพงเพชร!L403+เชียงราย!L403+เชียงใหม่!L403+ตาก!L403+นครสวรรค์!L403+น่าน!L403+พะเยา!L403+พิจิตร!L403+พิษณุโลก!L403+เพชรบูรณ์!L403+แพร่!L403+แม่ฮ่องสอน!L403+ลำปาง!L403+ลำพูน!L403+สุโขทัย!L403+อุตรดิตถ์!L403+อุทัยธานี!L403</f>
        <v>0</v>
      </c>
      <c r="M403" s="164"/>
      <c r="N403" s="168">
        <f ca="1">กำแพงเพชร!N403+เชียงราย!N403+เชียงใหม่!N403+ตาก!N403+นครสวรรค์!N403+น่าน!N403+พะเยา!N403+พิจิตร!N403+พิษณุโลก!N403+เพชรบูรณ์!N403+แพร่!N403+แม่ฮ่องสอน!N403+ลำปาง!N403+ลำพูน!N403+สุโขทัย!N403+อุตรดิตถ์!N403+อุทัยธานี!N403</f>
        <v>0</v>
      </c>
      <c r="O403" s="168">
        <f t="shared" ref="O403:O406" ca="1" si="81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ำแพงเพชร!L404+เชียงราย!L404+เชียงใหม่!L404+ตาก!L404+นครสวรรค์!L404+น่าน!L404+พะเยา!L404+พิจิตร!L404+พิษณุโลก!L404+เพชรบูรณ์!L404+แพร่!L404+แม่ฮ่องสอน!L404+ลำปาง!L404+ลำพูน!L404+สุโขทัย!L404+อุตรดิตถ์!L404+อุทัยธานี!L404</f>
        <v>3226520</v>
      </c>
      <c r="M404" s="165"/>
      <c r="N404" s="168">
        <f ca="1">กำแพงเพชร!N404+เชียงราย!N404+เชียงใหม่!N404+ตาก!N404+นครสวรรค์!N404+น่าน!N404+พะเยา!N404+พิจิตร!N404+พิษณุโลก!N404+เพชรบูรณ์!N404+แพร่!N404+แม่ฮ่องสอน!N404+ลำปาง!N404+ลำพูน!N404+สุโขทัย!N404+อุตรดิตถ์!N404+อุทัยธานี!N404</f>
        <v>2329049.4500000002</v>
      </c>
      <c r="O404" s="168">
        <f t="shared" ca="1" si="81"/>
        <v>72.184565724061841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กำแพงเพชร!L405+เชียงราย!L405+เชียงใหม่!L405+ตาก!L405+นครสวรรค์!L405+น่าน!L405+พะเยา!L405+พิจิตร!L405+พิษณุโลก!L405+เพชรบูรณ์!L405+แพร่!L405+แม่ฮ่องสอน!L405+ลำปาง!L405+ลำพูน!L405+สุโขทัย!L405+อุตรดิตถ์!L405+อุทัยธานี!L405</f>
        <v>0</v>
      </c>
      <c r="M405" s="168"/>
      <c r="N405" s="168">
        <f ca="1">กำแพงเพชร!N405+เชียงราย!N405+เชียงใหม่!N405+ตาก!N405+นครสวรรค์!N405+น่าน!N405+พะเยา!N405+พิจิตร!N405+พิษณุโลก!N405+เพชรบูรณ์!N405+แพร่!N405+แม่ฮ่องสอน!N405+ลำปาง!N405+ลำพูน!N405+สุโขทัย!N405+อุตรดิตถ์!N405+อุทัยธานี!N405</f>
        <v>0</v>
      </c>
      <c r="O405" s="168">
        <f t="shared" ca="1" si="81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กำแพงเพชร!L406+เชียงราย!L406+เชียงใหม่!L406+ตาก!L406+นครสวรรค์!L406+น่าน!L406+พะเยา!L406+พิจิตร!L406+พิษณุโลก!L406+เพชรบูรณ์!L406+แพร่!L406+แม่ฮ่องสอน!L406+ลำปาง!L406+ลำพูน!L406+สุโขทัย!L406+อุตรดิตถ์!L406+อุทัยธานี!L406</f>
        <v>3226520</v>
      </c>
      <c r="M406" s="168"/>
      <c r="N406" s="168">
        <f ca="1">กำแพงเพชร!N406+เชียงราย!N406+เชียงใหม่!N406+ตาก!N406+นครสวรรค์!N406+น่าน!N406+พะเยา!N406+พิจิตร!N406+พิษณุโลก!N406+เพชรบูรณ์!N406+แพร่!N406+แม่ฮ่องสอน!N406+ลำปาง!N406+ลำพูน!N406+สุโขทัย!N406+อุตรดิตถ์!N406+อุทัยธานี!N406</f>
        <v>2329049.4500000002</v>
      </c>
      <c r="O406" s="168">
        <f t="shared" ca="1" si="81"/>
        <v>72.184565724061841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กำแพงเพชร!N407+เชียงราย!N407+เชียงใหม่!N407+ตาก!N407+นครสวรรค์!N407+น่าน!N407+พะเยา!N407+พิจิตร!N407+พิษณุโลก!N407+เพชรบูรณ์!N407+แพร่!N407+แม่ฮ่องสอน!N407+ลำปาง!N407+ลำพูน!N407+สุโขทัย!N407+อุตรดิตถ์!N407+อุทัยธานี!N407</f>
        <v>1709920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กำแพงเพชร!N408+เชียงราย!N408+เชียงใหม่!N408+ตาก!N408+นครสวรรค์!N408+น่าน!N408+พะเยา!N408+พิจิตร!N408+พิษณุโลก!N408+เพชรบูรณ์!N408+แพร่!N408+แม่ฮ่องสอน!N408+ลำปาง!N408+ลำพูน!N408+สุโขทัย!N408+อุตรดิตถ์!N408+อุทัยธานี!N408</f>
        <v>363584.95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กำแพงเพชร!N409+เชียงราย!N409+เชียงใหม่!N409+ตาก!N409+นครสวรรค์!N409+น่าน!N409+พะเยา!N409+พิจิตร!N409+พิษณุโลก!N409+เพชรบูรณ์!N409+แพร่!N409+แม่ฮ่องสอน!N409+ลำปาง!N409+ลำพูน!N409+สุโขทัย!N409+อุตรดิตถ์!N409+อุทัยธานี!N409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กำแพงเพชร!N410+เชียงราย!N410+เชียงใหม่!N410+ตาก!N410+นครสวรรค์!N410+น่าน!N410+พะเยา!N410+พิจิตร!N410+พิษณุโลก!N410+เพชรบูรณ์!N410+แพร่!N410+แม่ฮ่องสอน!N410+ลำปาง!N410+ลำพูน!N410+สุโขทัย!N410+อุตรดิตถ์!N410+อุทัยธานี!N410</f>
        <v>255544.5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17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15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14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กำแพงเพชร!I416+เชียงราย!I416+เชียงใหม่!I416+ตาก!I416+นครสวรรค์!I416+น่าน!I416+พะเยา!I416+พิจิตร!I416+พิษณุโลก!I416+เพชรบูรณ์!I416+แพร่!I416+แม่ฮ่องสอน!I416+ลำปาง!I416+ลำพูน!I416+สุโขทัย!I416+อุตรดิตถ์!I416+อุทัยธานี!I416</f>
        <v>957</v>
      </c>
      <c r="J416" s="200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864</v>
      </c>
      <c r="K416" s="201">
        <f t="shared" ref="K416:K432" ca="1" si="82">IF(I416&gt;0,J416*100/I416,0)</f>
        <v>90.282131661442008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กำแพงเพชร!I417+เชียงราย!I417+เชียงใหม่!I417+ตาก!I417+นครสวรรค์!I417+น่าน!I417+พะเยา!I417+พิจิตร!I417+พิษณุโลก!I417+เพชรบูรณ์!I417+แพร่!I417+แม่ฮ่องสอน!I417+ลำปาง!I417+ลำพูน!I417+สุโขทัย!I417+อุตรดิตถ์!I417+อุทัยธานี!I417</f>
        <v>200</v>
      </c>
      <c r="J417" s="391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200</v>
      </c>
      <c r="K417" s="201">
        <f t="shared" ca="1" si="82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600</v>
      </c>
      <c r="J418" s="392">
        <f ca="1"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600</v>
      </c>
      <c r="K418" s="201">
        <f t="shared" ca="1" si="82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200</v>
      </c>
      <c r="J419" s="393">
        <f ca="1"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200</v>
      </c>
      <c r="K419" s="163">
        <f t="shared" ca="1" si="82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กำแพงเพชร!I420+เชียงราย!I420+เชียงใหม่!I420+ตาก!I420+นครสวรรค์!I420+น่าน!I420+พะเยา!I420+พิจิตร!I420+พิษณุโลก!I420+เพชรบูรณ์!I420+แพร่!I420+แม่ฮ่องสอน!I420+ลำปาง!I420+ลำพูน!I420+สุโขทัย!I420+อุตรดิตถ์!I420+อุทัยธานี!I420</f>
        <v>200</v>
      </c>
      <c r="J420" s="393">
        <f ca="1"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200</v>
      </c>
      <c r="K420" s="288">
        <f t="shared" ca="1" si="82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กำแพงเพชร!I421+เชียงราย!I421+เชียงใหม่!I421+ตาก!I421+นครสวรรค์!I421+น่าน!I421+พะเยา!I421+พิจิตร!I421+พิษณุโลก!I421+เพชรบูรณ์!I421+แพร่!I421+แม่ฮ่องสอน!I421+ลำปาง!I421+ลำพูน!I421+สุโขทัย!I421+อุตรดิตถ์!I421+อุทัยธานี!I421</f>
        <v>574</v>
      </c>
      <c r="J421" s="391">
        <f ca="1"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489</v>
      </c>
      <c r="K421" s="201">
        <f t="shared" ca="1" si="82"/>
        <v>85.191637630662015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กำแพงเพชร!I422+เชียงราย!I422+เชียงใหม่!I422+ตาก!I422+นครสวรรค์!I422+น่าน!I422+พะเยา!I422+พิจิตร!I422+พิษณุโลก!I422+เพชรบูรณ์!I422+แพร่!I422+แม่ฮ่องสอน!I422+ลำปาง!I422+ลำพูน!I422+สุโขทัย!I422+อุตรดิตถ์!I422+อุทัยธานี!I422</f>
        <v>1722</v>
      </c>
      <c r="J422" s="392">
        <f ca="1"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1692</v>
      </c>
      <c r="K422" s="201">
        <f t="shared" ca="1" si="82"/>
        <v>98.257839721254356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กำแพงเพชร!I423+เชียงราย!I423+เชียงใหม่!I423+ตาก!I423+นครสวรรค์!I423+น่าน!I423+พะเยา!I423+พิจิตร!I423+พิษณุโลก!I423+เพชรบูรณ์!I423+แพร่!I423+แม่ฮ่องสอน!I423+ลำปาง!I423+ลำพูน!I423+สุโขทัย!I423+อุตรดิตถ์!I423+อุทัยธานี!I423</f>
        <v>574</v>
      </c>
      <c r="J423" s="393">
        <f ca="1"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574</v>
      </c>
      <c r="K423" s="163">
        <f t="shared" ca="1" si="82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กำแพงเพชร!I424+เชียงราย!I424+เชียงใหม่!I424+ตาก!I424+นครสวรรค์!I424+น่าน!I424+พะเยา!I424+พิจิตร!I424+พิษณุโลก!I424+เพชรบูรณ์!I424+แพร่!I424+แม่ฮ่องสอน!I424+ลำปาง!I424+ลำพูน!I424+สุโขทัย!I424+อุตรดิตถ์!I424+อุทัยธานี!I424</f>
        <v>574</v>
      </c>
      <c r="J424" s="393">
        <f ca="1"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539</v>
      </c>
      <c r="K424" s="163">
        <f t="shared" ca="1" si="82"/>
        <v>93.902439024390247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กำแพงเพชร!I425+เชียงราย!I425+เชียงใหม่!I425+ตาก!I425+นครสวรรค์!I425+น่าน!I425+พะเยา!I425+พิจิตร!I425+พิษณุโลก!I425+เพชรบูรณ์!I425+แพร่!I425+แม่ฮ่องสอน!I425+ลำปาง!I425+ลำพูน!I425+สุโขทัย!I425+อุตรดิตถ์!I425+อุทัยธานี!I425</f>
        <v>574</v>
      </c>
      <c r="J425" s="393">
        <f ca="1"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489</v>
      </c>
      <c r="K425" s="163">
        <f t="shared" ca="1" si="82"/>
        <v>85.191637630662015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183</v>
      </c>
      <c r="J426" s="391">
        <f ca="1"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175</v>
      </c>
      <c r="K426" s="201">
        <f t="shared" ca="1" si="82"/>
        <v>95.62841530054645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กำแพงเพชร!I427+เชียงราย!I427+เชียงใหม่!I427+ตาก!I427+นครสวรรค์!I427+น่าน!I427+พะเยา!I427+พิจิตร!I427+พิษณุโลก!I427+เพชรบูรณ์!I427+แพร่!I427+แม่ฮ่องสอน!I427+ลำปาง!I427+ลำพูน!I427+สุโขทัย!I427+อุตรดิตถ์!I427+อุทัยธานี!I427</f>
        <v>549</v>
      </c>
      <c r="J427" s="392">
        <f ca="1">กำแพงเพชร!J427+เชียงราย!J427+เชียงใหม่!J427+ตาก!J427+นครสวรรค์!J427+น่าน!J427+พะเยา!J427+พิจิตร!J427+พิษณุโลก!J427+เพชรบูรณ์!J427+แพร่!J427+แม่ฮ่องสอน!J427+ลำปาง!J427+ลำพูน!J427+สุโขทัย!J427+อุตรดิตถ์!J427+อุทัยธานี!J427</f>
        <v>525</v>
      </c>
      <c r="K427" s="201">
        <f t="shared" ca="1" si="82"/>
        <v>95.62841530054645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กำแพงเพชร!I428+เชียงราย!I428+เชียงใหม่!I428+ตาก!I428+นครสวรรค์!I428+น่าน!I428+พะเยา!I428+พิจิตร!I428+พิษณุโลก!I428+เพชรบูรณ์!I428+แพร่!I428+แม่ฮ่องสอน!I428+ลำปาง!I428+ลำพูน!I428+สุโขทัย!I428+อุตรดิตถ์!I428+อุทัยธานี!I428</f>
        <v>183</v>
      </c>
      <c r="J428" s="393">
        <f ca="1">กำแพงเพชร!J428+เชียงราย!J428+เชียงใหม่!J428+ตาก!J428+นครสวรรค์!J428+น่าน!J428+พะเยา!J428+พิจิตร!J428+พิษณุโลก!J428+เพชรบูรณ์!J428+แพร่!J428+แม่ฮ่องสอน!J428+ลำปาง!J428+ลำพูน!J428+สุโขทัย!J428+อุตรดิตถ์!J428+อุทัยธานี!J428</f>
        <v>175</v>
      </c>
      <c r="K428" s="163">
        <f t="shared" ca="1" si="82"/>
        <v>95.62841530054645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กำแพงเพชร!I429+เชียงราย!I429+เชียงใหม่!I429+ตาก!I429+นครสวรรค์!I429+น่าน!I429+พะเยา!I429+พิจิตร!I429+พิษณุโลก!I429+เพชรบูรณ์!I429+แพร่!I429+แม่ฮ่องสอน!I429+ลำปาง!I429+ลำพูน!I429+สุโขทัย!I429+อุตรดิตถ์!I429+อุทัยธานี!I429</f>
        <v>183</v>
      </c>
      <c r="J429" s="393">
        <f ca="1">กำแพงเพชร!J429+เชียงราย!J429+เชียงใหม่!J429+ตาก!J429+นครสวรรค์!J429+น่าน!J429+พะเยา!J429+พิจิตร!J429+พิษณุโลก!J429+เพชรบูรณ์!J429+แพร่!J429+แม่ฮ่องสอน!J429+ลำปาง!J429+ลำพูน!J429+สุโขทัย!J429+อุตรดิตถ์!J429+อุทัยธานี!J429</f>
        <v>175</v>
      </c>
      <c r="K429" s="163">
        <f t="shared" ca="1" si="82"/>
        <v>95.62841530054645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กำแพงเพชร!I430+เชียงราย!I430+เชียงใหม่!I430+ตาก!I430+นครสวรรค์!I430+น่าน!I430+พะเยา!I430+พิจิตร!I430+พิษณุโลก!I430+เพชรบูรณ์!I430+แพร่!I430+แม่ฮ่องสอน!I430+ลำปาง!I430+ลำพูน!I430+สุโขทัย!I430+อุตรดิตถ์!I430+อุทัยธานี!I430</f>
        <v>774</v>
      </c>
      <c r="J430" s="391">
        <f ca="1">กำแพงเพชร!J430+เชียงราย!J430+เชียงใหม่!J430+ตาก!J430+นครสวรรค์!J430+น่าน!J430+พะเยา!J430+พิจิตร!J430+พิษณุโลก!J430+เพชรบูรณ์!J430+แพร่!J430+แม่ฮ่องสอน!J430+ลำปาง!J430+ลำพูน!J430+สุโขทัย!J430+อุตรดิตถ์!J430+อุทัยธานี!J430</f>
        <v>418</v>
      </c>
      <c r="K430" s="201">
        <f t="shared" ca="1" si="82"/>
        <v>54.00516795865633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กำแพงเพชร!I431+เชียงราย!I431+เชียงใหม่!I431+ตาก!I431+นครสวรรค์!I431+น่าน!I431+พะเยา!I431+พิจิตร!I431+พิษณุโลก!I431+เพชรบูรณ์!I431+แพร่!I431+แม่ฮ่องสอน!I431+ลำปาง!I431+ลำพูน!I431+สุโขทัย!I431+อุตรดิตถ์!I431+อุทัยธานี!I431</f>
        <v>200</v>
      </c>
      <c r="J431" s="393">
        <f ca="1">กำแพงเพชร!J431+เชียงราย!J431+เชียงใหม่!J431+ตาก!J431+นครสวรรค์!J431+น่าน!J431+พะเยา!J431+พิจิตร!J431+พิษณุโลก!J431+เพชรบูรณ์!J431+แพร่!J431+แม่ฮ่องสอน!J431+ลำปาง!J431+ลำพูน!J431+สุโขทัย!J431+อุตรดิตถ์!J431+อุทัยธานี!J431</f>
        <v>95</v>
      </c>
      <c r="K431" s="163">
        <f t="shared" ca="1" si="82"/>
        <v>47.5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กำแพงเพชร!I432+เชียงราย!I432+เชียงใหม่!I432+ตาก!I432+นครสวรรค์!I432+น่าน!I432+พะเยา!I432+พิจิตร!I432+พิษณุโลก!I432+เพชรบูรณ์!I432+แพร่!I432+แม่ฮ่องสอน!I432+ลำปาง!I432+ลำพูน!I432+สุโขทัย!I432+อุตรดิตถ์!I432+อุทัยธานี!I432</f>
        <v>574</v>
      </c>
      <c r="J432" s="393">
        <f ca="1">กำแพงเพชร!J432+เชียงราย!J432+เชียงใหม่!J432+ตาก!J432+นครสวรรค์!J432+น่าน!J432+พะเยา!J432+พิจิตร!J432+พิษณุโลก!J432+เพชรบูรณ์!J432+แพร่!J432+แม่ฮ่องสอน!J432+ลำปาง!J432+ลำพูน!J432+สุโขทัย!J432+อุตรดิตถ์!J432+อุทัยธานี!J432</f>
        <v>323</v>
      </c>
      <c r="K432" s="163">
        <f t="shared" ca="1" si="82"/>
        <v>56.271777003484324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กำแพงเพชร!J433+เชียงราย!J433+เชียงใหม่!J433+ตาก!J433+นครสวรรค์!J433+น่าน!J433+พะเยา!J433+พิจิตร!J433+พิษณุโลก!J433+เพชรบูรณ์!J433+แพร่!J433+แม่ฮ่องสอน!J433+ลำปาง!J433+ลำพูน!J433+สุโขทัย!J433+อุตรดิตถ์!J433+อุทัยธานี!J433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กำแพงเพชร!J434+เชียงราย!J434+เชียงใหม่!J434+ตาก!J434+นครสวรรค์!J434+น่าน!J434+พะเยา!J434+พิจิตร!J434+พิษณุโลก!J434+เพชรบูรณ์!J434+แพร่!J434+แม่ฮ่องสอน!J434+ลำปาง!J434+ลำพูน!J434+สุโขทัย!J434+อุตรดิตถ์!J434+อุทัยธานี!J434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กำแพงเพชร!I435+เชียงราย!I435+เชียงใหม่!I435+ตาก!I435+นครสวรรค์!I435+น่าน!I435+พะเยา!I435+พิจิตร!I435+พิษณุโลก!I435+เพชรบูรณ์!I435+แพร่!I435+แม่ฮ่องสอน!I435+ลำปาง!I435+ลำพูน!I435+สุโขทัย!I435+อุตรดิตถ์!I435+อุทัยธานี!I435</f>
        <v>489</v>
      </c>
      <c r="J435" s="409">
        <f ca="1">กำแพงเพชร!J435+เชียงราย!J435+เชียงใหม่!J435+ตาก!J435+นครสวรรค์!J435+น่าน!J435+พะเยา!J435+พิจิตร!J435+พิษณุโลก!J435+เพชรบูรณ์!J435+แพร่!J435+แม่ฮ่องสอน!J435+ลำปาง!J435+ลำพูน!J435+สุโขทัย!J435+อุตรดิตถ์!J435+อุทัยธานี!J435</f>
        <v>489</v>
      </c>
      <c r="K435" s="410">
        <f ca="1">IF(I435&gt;0,J435*100/I435,0)</f>
        <v>100</v>
      </c>
      <c r="L435" s="411">
        <f ca="1">กำแพงเพชร!L435+เชียงราย!L435+เชียงใหม่!L435+ตาก!L435+นครสวรรค์!L435+น่าน!L435+พะเยา!L435+พิจิตร!L435+พิษณุโลก!L435+เพชรบูรณ์!L435+แพร่!L435+แม่ฮ่องสอน!L435+ลำปาง!L435+ลำพูน!L435+สุโขทัย!L435+อุตรดิตถ์!L435+อุทัยธานี!L435</f>
        <v>2087200</v>
      </c>
      <c r="M435" s="411"/>
      <c r="N435" s="411">
        <f ca="1">กำแพงเพชร!N435+เชียงราย!N435+เชียงใหม่!N435+ตาก!N435+นครสวรรค์!N435+น่าน!N435+พะเยา!N435+พิจิตร!N435+พิษณุโลก!N435+เพชรบูรณ์!N435+แพร่!N435+แม่ฮ่องสอน!N435+ลำปาง!N435+ลำพูน!N435+สุโขทัย!N435+อุตรดิตถ์!N435+อุทัยธานี!N435</f>
        <v>1341816.79</v>
      </c>
      <c r="O435" s="411">
        <f t="shared" ref="O435:O439" ca="1" si="83">+IF(L435&gt;0,N435*100/L435,0)</f>
        <v>64.28788760061326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ำแพงเพชร!L436+เชียงราย!L436+เชียงใหม่!L436+ตาก!L436+นครสวรรค์!L436+น่าน!L436+พะเยา!L436+พิจิตร!L436+พิษณุโลก!L436+เพชรบูรณ์!L436+แพร่!L436+แม่ฮ่องสอน!L436+ลำปาง!L436+ลำพูน!L436+สุโขทัย!L436+อุตรดิตถ์!L436+อุทัยธานี!L436</f>
        <v>0</v>
      </c>
      <c r="M436" s="164"/>
      <c r="N436" s="168">
        <f ca="1">กำแพงเพชร!N436+เชียงราย!N436+เชียงใหม่!N436+ตาก!N436+นครสวรรค์!N436+น่าน!N436+พะเยา!N436+พิจิตร!N436+พิษณุโลก!N436+เพชรบูรณ์!N436+แพร่!N436+แม่ฮ่องสอน!N436+ลำปาง!N436+ลำพูน!N436+สุโขทัย!N436+อุตรดิตถ์!N436+อุทัยธานี!N436</f>
        <v>0</v>
      </c>
      <c r="O436" s="168">
        <f t="shared" ca="1" si="83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ำแพงเพชร!L437+เชียงราย!L437+เชียงใหม่!L437+ตาก!L437+นครสวรรค์!L437+น่าน!L437+พะเยา!L437+พิจิตร!L437+พิษณุโลก!L437+เพชรบูรณ์!L437+แพร่!L437+แม่ฮ่องสอน!L437+ลำปาง!L437+ลำพูน!L437+สุโขทัย!L437+อุตรดิตถ์!L437+อุทัยธานี!L437</f>
        <v>2087200</v>
      </c>
      <c r="M437" s="165"/>
      <c r="N437" s="168">
        <f ca="1">กำแพงเพชร!N437+เชียงราย!N437+เชียงใหม่!N437+ตาก!N437+นครสวรรค์!N437+น่าน!N437+พะเยา!N437+พิจิตร!N437+พิษณุโลก!N437+เพชรบูรณ์!N437+แพร่!N437+แม่ฮ่องสอน!N437+ลำปาง!N437+ลำพูน!N437+สุโขทัย!N437+อุตรดิตถ์!N437+อุทัยธานี!N437</f>
        <v>1341816.79</v>
      </c>
      <c r="O437" s="168">
        <f t="shared" ca="1" si="83"/>
        <v>64.28788760061326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กำแพงเพชร!L438+เชียงราย!L438+เชียงใหม่!L438+ตาก!L438+นครสวรรค์!L438+น่าน!L438+พะเยา!L438+พิจิตร!L438+พิษณุโลก!L438+เพชรบูรณ์!L438+แพร่!L438+แม่ฮ่องสอน!L438+ลำปาง!L438+ลำพูน!L438+สุโขทัย!L438+อุตรดิตถ์!L438+อุทัยธานี!L438</f>
        <v>0</v>
      </c>
      <c r="M438" s="168"/>
      <c r="N438" s="168">
        <f ca="1">กำแพงเพชร!N438+เชียงราย!N438+เชียงใหม่!N438+ตาก!N438+นครสวรรค์!N438+น่าน!N438+พะเยา!N438+พิจิตร!N438+พิษณุโลก!N438+เพชรบูรณ์!N438+แพร่!N438+แม่ฮ่องสอน!N438+ลำปาง!N438+ลำพูน!N438+สุโขทัย!N438+อุตรดิตถ์!N438+อุทัยธานี!N438</f>
        <v>0</v>
      </c>
      <c r="O438" s="168">
        <f t="shared" ca="1" si="83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กำแพงเพชร!L439+เชียงราย!L439+เชียงใหม่!L439+ตาก!L439+นครสวรรค์!L439+น่าน!L439+พะเยา!L439+พิจิตร!L439+พิษณุโลก!L439+เพชรบูรณ์!L439+แพร่!L439+แม่ฮ่องสอน!L439+ลำปาง!L439+ลำพูน!L439+สุโขทัย!L439+อุตรดิตถ์!L439+อุทัยธานี!L439</f>
        <v>2087200</v>
      </c>
      <c r="M439" s="168"/>
      <c r="N439" s="168">
        <f ca="1">กำแพงเพชร!N439+เชียงราย!N439+เชียงใหม่!N439+ตาก!N439+นครสวรรค์!N439+น่าน!N439+พะเยา!N439+พิจิตร!N439+พิษณุโลก!N439+เพชรบูรณ์!N439+แพร่!N439+แม่ฮ่องสอน!N439+ลำปาง!N439+ลำพูน!N439+สุโขทัย!N439+อุตรดิตถ์!N439+อุทัยธานี!N439</f>
        <v>1341816.79</v>
      </c>
      <c r="O439" s="168">
        <f t="shared" ca="1" si="83"/>
        <v>64.28788760061326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กำแพงเพชร!N440+เชียงราย!N440+เชียงใหม่!N440+ตาก!N440+นครสวรรค์!N440+น่าน!N440+พะเยา!N440+พิจิตร!N440+พิษณุโลก!N440+เพชรบูรณ์!N440+แพร่!N440+แม่ฮ่องสอน!N440+ลำปาง!N440+ลำพูน!N440+สุโขทัย!N440+อุตรดิตถ์!N440+อุทัยธานี!N440</f>
        <v>1021373.5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กำแพงเพชร!N441+เชียงราย!N441+เชียงใหม่!N441+ตาก!N441+นครสวรรค์!N441+น่าน!N441+พะเยา!N441+พิจิตร!N441+พิษณุโลก!N441+เพชรบูรณ์!N441+แพร่!N441+แม่ฮ่องสอน!N441+ลำปาง!N441+ลำพูน!N441+สุโขทัย!N441+อุตรดิตถ์!N441+อุทัยธานี!N441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กำแพงเพชร!N442+เชียงราย!N442+เชียงใหม่!N442+ตาก!N442+นครสวรรค์!N442+น่าน!N442+พะเยา!N442+พิจิตร!N442+พิษณุโลก!N442+เพชรบูรณ์!N442+แพร่!N442+แม่ฮ่องสอน!N442+ลำปาง!N442+ลำพูน!N442+สุโขทัย!N442+อุตรดิตถ์!N442+อุทัยธานี!N442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กำแพงเพชร!N443+เชียงราย!N443+เชียงใหม่!N443+ตาก!N443+นครสวรรค์!N443+น่าน!N443+พะเยา!N443+พิจิตร!N443+พิษณุโลก!N443+เพชรบูรณ์!N443+แพร่!N443+แม่ฮ่องสอน!N443+ลำปาง!N443+ลำพูน!N443+สุโขทัย!N443+อุตรดิตถ์!N443+อุทัยธานี!N443</f>
        <v>320443.29000000004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กำแพงเพชร!J445+เชียงราย!J445+เชียงใหม่!J445+ตาก!J445+นครสวรรค์!J445+น่าน!J445+พะเยา!J445+พิจิตร!J445+พิษณุโลก!J445+เพชรบูรณ์!J445+แพร่!J445+แม่ฮ่องสอน!J445+ลำปาง!J445+ลำพูน!J445+สุโขทัย!J445+อุตรดิตถ์!J445+อุทัยธานี!J445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กำแพงเพชร!J446+เชียงราย!J446+เชียงใหม่!J446+ตาก!J446+นครสวรรค์!J446+น่าน!J446+พะเยา!J446+พิจิตร!J446+พิษณุโลก!J446+เพชรบูรณ์!J446+แพร่!J446+แม่ฮ่องสอน!J446+ลำปาง!J446+ลำพูน!J446+สุโขทัย!J446+อุตรดิตถ์!J446+อุทัยธานี!J446</f>
        <v>17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กำแพงเพชร!J447+เชียงราย!J447+เชียงใหม่!J447+ตาก!J447+นครสวรรค์!J447+น่าน!J447+พะเยา!J447+พิจิตร!J447+พิษณุโลก!J447+เพชรบูรณ์!J447+แพร่!J447+แม่ฮ่องสอน!J447+ลำปาง!J447+ลำพูน!J447+สุโขทัย!J447+อุตรดิตถ์!J447+อุทัยธานี!J447</f>
        <v>16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กำแพงเพชร!J448+เชียงราย!J448+เชียงใหม่!J448+ตาก!J448+นครสวรรค์!J448+น่าน!J448+พะเยา!J448+พิจิตร!J448+พิษณุโลก!J448+เพชรบูรณ์!J448+แพร่!J448+แม่ฮ่องสอน!J448+ลำปาง!J448+ลำพูน!J448+สุโขทัย!J448+อุตรดิตถ์!J448+อุทัยธานี!J448</f>
        <v>17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กำแพงเพชร!I449+เชียงราย!I449+เชียงใหม่!I449+ตาก!I449+นครสวรรค์!I449+น่าน!I449+พะเยา!I449+พิจิตร!I449+พิษณุโลก!I449+เพชรบูรณ์!I449+แพร่!I449+แม่ฮ่องสอน!I449+ลำปาง!I449+ลำพูน!I449+สุโขทัย!I449+อุตรดิตถ์!I449+อุทัยธานี!I449</f>
        <v>489</v>
      </c>
      <c r="J449" s="200">
        <f ca="1">กำแพงเพชร!J449+เชียงราย!J449+เชียงใหม่!J449+ตาก!J449+นครสวรรค์!J449+น่าน!J449+พะเยา!J449+พิจิตร!J449+พิษณุโลก!J449+เพชรบูรณ์!J449+แพร่!J449+แม่ฮ่องสอน!J449+ลำปาง!J449+ลำพูน!J449+สุโขทัย!J449+อุตรดิตถ์!J449+อุทัยธานี!J449</f>
        <v>489</v>
      </c>
      <c r="K449" s="163">
        <f t="shared" ref="K449:K452" ca="1" si="84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กำแพงเพชร!I450+เชียงราย!I450+เชียงใหม่!I450+ตาก!I450+นครสวรรค์!I450+น่าน!I450+พะเยา!I450+พิจิตร!I450+พิษณุโลก!I450+เพชรบูรณ์!I450+แพร่!I450+แม่ฮ่องสอน!I450+ลำปาง!I450+ลำพูน!I450+สุโขทัย!I450+อุตรดิตถ์!I450+อุทัยธานี!I450</f>
        <v>360</v>
      </c>
      <c r="J450" s="188">
        <f ca="1">กำแพงเพชร!J450+เชียงราย!J450+เชียงใหม่!J450+ตาก!J450+นครสวรรค์!J450+น่าน!J450+พะเยา!J450+พิจิตร!J450+พิษณุโลก!J450+เพชรบูรณ์!J450+แพร่!J450+แม่ฮ่องสอน!J450+ลำปาง!J450+ลำพูน!J450+สุโขทัย!J450+อุตรดิตถ์!J450+อุทัยธานี!J450</f>
        <v>360</v>
      </c>
      <c r="K450" s="163">
        <f t="shared" ca="1" si="84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กำแพงเพชร!I451+เชียงราย!I451+เชียงใหม่!I451+ตาก!I451+นครสวรรค์!I451+น่าน!I451+พะเยา!I451+พิจิตร!I451+พิษณุโลก!I451+เพชรบูรณ์!I451+แพร่!I451+แม่ฮ่องสอน!I451+ลำปาง!I451+ลำพูน!I451+สุโขทัย!I451+อุตรดิตถ์!I451+อุทัยธานี!I451</f>
        <v>129</v>
      </c>
      <c r="J451" s="187">
        <f ca="1">กำแพงเพชร!J451+เชียงราย!J451+เชียงใหม่!J451+ตาก!J451+นครสวรรค์!J451+น่าน!J451+พะเยา!J451+พิจิตร!J451+พิษณุโลก!J451+เพชรบูรณ์!J451+แพร่!J451+แม่ฮ่องสอน!J451+ลำปาง!J451+ลำพูน!J451+สุโขทัย!J451+อุตรดิตถ์!J451+อุทัยธานี!J451</f>
        <v>129</v>
      </c>
      <c r="K451" s="163">
        <f t="shared" ca="1" si="84"/>
        <v>100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กำแพงเพชร!I452+เชียงราย!I452+เชียงใหม่!I452+ตาก!I452+นครสวรรค์!I452+น่าน!I452+พะเยา!I452+พิจิตร!I452+พิษณุโลก!I452+เพชรบูรณ์!I452+แพร่!I452+แม่ฮ่องสอน!I452+ลำปาง!I452+ลำพูน!I452+สุโขทัย!I452+อุตรดิตถ์!I452+อุทัยธานี!I452</f>
        <v>0</v>
      </c>
      <c r="J452" s="414">
        <f ca="1">กำแพงเพชร!J452+เชียงราย!J452+เชียงใหม่!J452+ตาก!J452+นครสวรรค์!J452+น่าน!J452+พะเยา!J452+พิจิตร!J452+พิษณุโลก!J452+เพชรบูรณ์!J452+แพร่!J452+แม่ฮ่องสอน!J452+ลำปาง!J452+ลำพูน!J452+สุโขทัย!J452+อุตรดิตถ์!J452+อุทัยธานี!J452</f>
        <v>0</v>
      </c>
      <c r="K452" s="163">
        <f t="shared" ca="1" si="84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799598</v>
      </c>
      <c r="J455" s="370">
        <f ca="1"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401932.38</v>
      </c>
      <c r="K455" s="371">
        <f ca="1">IF(I455&gt;0,J455*100/I455,0)</f>
        <v>50.266806570301576</v>
      </c>
      <c r="L455" s="372">
        <f ca="1">กำแพงเพชร!L455+เชียงราย!L455+เชียงใหม่!L455+ตาก!L455+นครสวรรค์!L455+น่าน!L455+พะเยา!L455+พิจิตร!L455+พิษณุโลก!L455+เพชรบูรณ์!L455+แพร่!L455+แม่ฮ่องสอน!L455+ลำปาง!L455+ลำพูน!L455+สุโขทัย!L455+อุตรดิตถ์!L455+อุทัยธานี!L455</f>
        <v>7887358</v>
      </c>
      <c r="M455" s="372"/>
      <c r="N455" s="372">
        <f ca="1">กำแพงเพชร!N455+เชียงราย!N455+เชียงใหม่!N455+ตาก!N455+นครสวรรค์!N455+น่าน!N455+พะเยา!N455+พิจิตร!N455+พิษณุโลก!N455+เพชรบูรณ์!N455+แพร่!N455+แม่ฮ่องสอน!N455+ลำปาง!N455+ลำพูน!N455+สุโขทัย!N455+อุตรดิตถ์!N455+อุทัยธานี!N455</f>
        <v>2577369.96</v>
      </c>
      <c r="O455" s="372">
        <f t="shared" ref="O455:O459" ca="1" si="85">+IF(L455&gt;0,N455*100/L455,0)</f>
        <v>32.677228040111785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ำแพงเพชร!L456+เชียงราย!L456+เชียงใหม่!L456+ตาก!L456+นครสวรรค์!L456+น่าน!L456+พะเยา!L456+พิจิตร!L456+พิษณุโลก!L456+เพชรบูรณ์!L456+แพร่!L456+แม่ฮ่องสอน!L456+ลำปาง!L456+ลำพูน!L456+สุโขทัย!L456+อุตรดิตถ์!L456+อุทัยธานี!L456</f>
        <v>0</v>
      </c>
      <c r="M456" s="164"/>
      <c r="N456" s="168">
        <f ca="1">กำแพงเพชร!N456+เชียงราย!N456+เชียงใหม่!N456+ตาก!N456+นครสวรรค์!N456+น่าน!N456+พะเยา!N456+พิจิตร!N456+พิษณุโลก!N456+เพชรบูรณ์!N456+แพร่!N456+แม่ฮ่องสอน!N456+ลำปาง!N456+ลำพูน!N456+สุโขทัย!N456+อุตรดิตถ์!N456+อุทัยธานี!N456</f>
        <v>0</v>
      </c>
      <c r="O456" s="168">
        <f t="shared" ca="1" si="85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7887358</v>
      </c>
      <c r="M457" s="165"/>
      <c r="N457" s="168">
        <f ca="1">กำแพงเพชร!N457+เชียงราย!N457+เชียงใหม่!N457+ตาก!N457+นครสวรรค์!N457+น่าน!N457+พะเยา!N457+พิจิตร!N457+พิษณุโลก!N457+เพชรบูรณ์!N457+แพร่!N457+แม่ฮ่องสอน!N457+ลำปาง!N457+ลำพูน!N457+สุโขทัย!N457+อุตรดิตถ์!N457+อุทัยธานี!N457</f>
        <v>2577369.96</v>
      </c>
      <c r="O457" s="168">
        <f t="shared" ca="1" si="85"/>
        <v>32.677228040111785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168"/>
      <c r="N458" s="168">
        <f ca="1">กำแพงเพชร!N458+เชียงราย!N458+เชียงใหม่!N458+ตาก!N458+นครสวรรค์!N458+น่าน!N458+พะเยา!N458+พิจิตร!N458+พิษณุโลก!N458+เพชรบูรณ์!N458+แพร่!N458+แม่ฮ่องสอน!N458+ลำปาง!N458+ลำพูน!N458+สุโขทัย!N458+อุตรดิตถ์!N458+อุทัยธานี!N458</f>
        <v>0</v>
      </c>
      <c r="O458" s="168">
        <f t="shared" ca="1" si="85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7887358</v>
      </c>
      <c r="M459" s="168"/>
      <c r="N459" s="168">
        <f ca="1">กำแพงเพชร!N459+เชียงราย!N459+เชียงใหม่!N459+ตาก!N459+นครสวรรค์!N459+น่าน!N459+พะเยา!N459+พิจิตร!N459+พิษณุโลก!N459+เพชรบูรณ์!N459+แพร่!N459+แม่ฮ่องสอน!N459+ลำปาง!N459+ลำพูน!N459+สุโขทัย!N459+อุตรดิตถ์!N459+อุทัยธานี!N459</f>
        <v>2577369.96</v>
      </c>
      <c r="O459" s="168">
        <f t="shared" ca="1" si="85"/>
        <v>32.677228040111785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กำแพงเพชร!N460+เชียงราย!N460+เชียงใหม่!N460+ตาก!N460+นครสวรรค์!N460+น่าน!N460+พะเยา!N460+พิจิตร!N460+พิษณุโลก!N460+เพชรบูรณ์!N460+แพร่!N460+แม่ฮ่องสอน!N460+ลำปาง!N460+ลำพูน!N460+สุโขทัย!N460+อุตรดิตถ์!N460+อุทัยธานี!N460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กำแพงเพชร!N461+เชียงราย!N461+เชียงใหม่!N461+ตาก!N461+นครสวรรค์!N461+น่าน!N461+พะเยา!N461+พิจิตร!N461+พิษณุโลก!N461+เพชรบูรณ์!N461+แพร่!N461+แม่ฮ่องสอน!N461+ลำปาง!N461+ลำพูน!N461+สุโขทัย!N461+อุตรดิตถ์!N461+อุทัยธานี!N461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กำแพงเพชร!N462+เชียงราย!N462+เชียงใหม่!N462+ตาก!N462+นครสวรรค์!N462+น่าน!N462+พะเยา!N462+พิจิตร!N462+พิษณุโลก!N462+เพชรบูรณ์!N462+แพร่!N462+แม่ฮ่องสอน!N462+ลำปาง!N462+ลำพูน!N462+สุโขทัย!N462+อุตรดิตถ์!N462+อุทัยธานี!N462</f>
        <v>737532.33000000007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กำแพงเพชร!N463+เชียงราย!N463+เชียงใหม่!N463+ตาก!N463+นครสวรรค์!N463+น่าน!N463+พะเยา!N463+พิจิตร!N463+พิษณุโลก!N463+เพชรบูรณ์!N463+แพร่!N463+แม่ฮ่องสอน!N463+ลำปาง!N463+ลำพูน!N463+สุโขทัย!N463+อุตรดิตถ์!N463+อุทัยธานี!N463</f>
        <v>1839837.63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กำแพงเพชร!I464+เชียงราย!I464+เชียงใหม่!I464+ตาก!I464+นครสวรรค์!I464+น่าน!I464+พะเยา!I464+พิจิตร!I464+พิษณุโลก!I464+เพชรบูรณ์!I464+แพร่!I464+แม่ฮ่องสอน!I464+ลำปาง!I464+ลำพูน!I464+สุโขทัย!I464+อุตรดิตถ์!I464+อุทัยธานี!I464</f>
        <v>799598</v>
      </c>
      <c r="J464" s="267">
        <f ca="1">กำแพงเพชร!J464+เชียงราย!J464+เชียงใหม่!J464+ตาก!J464+นครสวรรค์!J464+น่าน!J464+พะเยา!J464+พิจิตร!J464+พิษณุโลก!J464+เพชรบูรณ์!J464+แพร่!J464+แม่ฮ่องสอน!J464+ลำปาง!J464+ลำพูน!J464+สุโขทัย!J464+อุตรดิตถ์!J464+อุทัยธานี!J464</f>
        <v>401932.38</v>
      </c>
      <c r="K464" s="268">
        <f t="shared" ref="K464:K515" ca="1" si="86">IF(I464&gt;0,J464*100/I464,0)</f>
        <v>50.266806570301576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กำแพงเพชร!I465+เชียงราย!I465+เชียงใหม่!I465+ตาก!I465+นครสวรรค์!I465+น่าน!I465+พะเยา!I465+พิจิตร!I465+พิษณุโลก!I465+เพชรบูรณ์!I465+แพร่!I465+แม่ฮ่องสอน!I465+ลำปาง!I465+ลำพูน!I465+สุโขทัย!I465+อุตรดิตถ์!I465+อุทัยธานี!I465</f>
        <v>799598</v>
      </c>
      <c r="J465" s="420">
        <f ca="1">กำแพงเพชร!J465+เชียงราย!J465+เชียงใหม่!J465+ตาก!J465+นครสวรรค์!J465+น่าน!J465+พะเยา!J465+พิจิตร!J465+พิษณุโลก!J465+เพชรบูรณ์!J465+แพร่!J465+แม่ฮ่องสอน!J465+ลำปาง!J465+ลำพูน!J465+สุโขทัย!J465+อุตรดิตถ์!J465+อุทัยธานี!J465</f>
        <v>799652.22</v>
      </c>
      <c r="K465" s="201">
        <f t="shared" ca="1" si="86"/>
        <v>100.00678090740597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95173</v>
      </c>
      <c r="J466" s="420">
        <f ca="1"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95173</v>
      </c>
      <c r="K466" s="201">
        <f t="shared" ca="1" si="86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กำแพงเพชร!I467+เชียงราย!I467+เชียงใหม่!I467+ตาก!I467+นครสวรรค์!I467+น่าน!I467+พะเยา!I467+พิจิตร!I467+พิษณุโลก!I467+เพชรบูรณ์!I467+แพร่!I467+แม่ฮ่องสอน!I467+ลำปาง!I467+ลำพูน!I467+สุโขทัย!I467+อุตรดิตถ์!I467+อุทัยธานี!I467</f>
        <v>0</v>
      </c>
      <c r="J467" s="188">
        <f ca="1">กำแพงเพชร!J467+เชียงราย!J467+เชียงใหม่!J467+ตาก!J467+นครสวรรค์!J467+น่าน!J467+พะเยา!J467+พิจิตร!J467+พิษณุโลก!J467+เพชรบูรณ์!J467+แพร่!J467+แม่ฮ่องสอน!J467+ลำปาง!J467+ลำพูน!J467+สุโขทัย!J467+อุตรดิตถ์!J467+อุทัยธานี!J467</f>
        <v>621324.86</v>
      </c>
      <c r="K467" s="163">
        <f t="shared" ca="1" si="86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188">
        <f ca="1"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78539</v>
      </c>
      <c r="K468" s="163">
        <f t="shared" ca="1" si="86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188">
        <f ca="1"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161048.07</v>
      </c>
      <c r="K469" s="163">
        <f t="shared" ca="1" si="86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188">
        <f ca="1"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14724</v>
      </c>
      <c r="K470" s="163">
        <f t="shared" ca="1" si="86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188">
        <f ca="1"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17279.29</v>
      </c>
      <c r="K471" s="163">
        <f t="shared" ca="1" si="86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188">
        <f ca="1"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1910</v>
      </c>
      <c r="K472" s="163">
        <f t="shared" ca="1" si="86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799598</v>
      </c>
      <c r="J473" s="420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799642.6399999999</v>
      </c>
      <c r="K473" s="201">
        <f t="shared" ca="1" si="86"/>
        <v>100.00558280535968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กำแพงเพชร!I474+เชียงราย!I474+เชียงใหม่!I474+ตาก!I474+นครสวรรค์!I474+น่าน!I474+พะเยา!I474+พิจิตร!I474+พิษณุโลก!I474+เพชรบูรณ์!I474+แพร่!I474+แม่ฮ่องสอน!I474+ลำปาง!I474+ลำพูน!I474+สุโขทัย!I474+อุตรดิตถ์!I474+อุทัยธานี!I474</f>
        <v>95173</v>
      </c>
      <c r="J474" s="420">
        <f ca="1">กำแพงเพชร!J474+เชียงราย!J474+เชียงใหม่!J474+ตาก!J474+นครสวรรค์!J474+น่าน!J474+พะเยา!J474+พิจิตร!J474+พิษณุโลก!J474+เพชรบูรณ์!J474+แพร่!J474+แม่ฮ่องสอน!J474+ลำปาง!J474+ลำพูน!J474+สุโขทัย!J474+อุตรดิตถ์!J474+อุทัยธานี!J474</f>
        <v>95174</v>
      </c>
      <c r="K474" s="201">
        <f t="shared" ca="1" si="86"/>
        <v>100.00105071816587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กำแพงเพชร!I475+เชียงราย!I475+เชียงใหม่!I475+ตาก!I475+นครสวรรค์!I475+น่าน!I475+พะเยา!I475+พิจิตร!I475+พิษณุโลก!I475+เพชรบูรณ์!I475+แพร่!I475+แม่ฮ่องสอน!I475+ลำปาง!I475+ลำพูน!I475+สุโขทัย!I475+อุตรดิตถ์!I475+อุทัยธานี!I475</f>
        <v>0</v>
      </c>
      <c r="J475" s="188">
        <f ca="1">กำแพงเพชร!J475+เชียงราย!J475+เชียงใหม่!J475+ตาก!J475+นครสวรรค์!J475+น่าน!J475+พะเยา!J475+พิจิตร!J475+พิษณุโลก!J475+เพชรบูรณ์!J475+แพร่!J475+แม่ฮ่องสอน!J475+ลำปาง!J475+ลำพูน!J475+สุโขทัย!J475+อุตรดิตถ์!J475+อุทัยธานี!J475</f>
        <v>661246.99000000011</v>
      </c>
      <c r="K475" s="163">
        <f t="shared" ca="1" si="86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กำแพงเพชร!I476+เชียงราย!I476+เชียงใหม่!I476+ตาก!I476+นครสวรรค์!I476+น่าน!I476+พะเยา!I476+พิจิตร!I476+พิษณุโลก!I476+เพชรบูรณ์!I476+แพร่!I476+แม่ฮ่องสอน!I476+ลำปาง!I476+ลำพูน!I476+สุโขทัย!I476+อุตรดิตถ์!I476+อุทัยธานี!I476</f>
        <v>0</v>
      </c>
      <c r="J476" s="188">
        <f ca="1">กำแพงเพชร!J476+เชียงราย!J476+เชียงใหม่!J476+ตาก!J476+นครสวรรค์!J476+น่าน!J476+พะเยา!J476+พิจิตร!J476+พิษณุโลก!J476+เพชรบูรณ์!J476+แพร่!J476+แม่ฮ่องสอน!J476+ลำปาง!J476+ลำพูน!J476+สุโขทัย!J476+อุตรดิตถ์!J476+อุทัยธานี!J476</f>
        <v>81914</v>
      </c>
      <c r="K476" s="163">
        <f t="shared" ca="1" si="86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กำแพงเพชร!I477+เชียงราย!I477+เชียงใหม่!I477+ตาก!I477+นครสวรรค์!I477+น่าน!I477+พะเยา!I477+พิจิตร!I477+พิษณุโลก!I477+เพชรบูรณ์!I477+แพร่!I477+แม่ฮ่องสอน!I477+ลำปาง!I477+ลำพูน!I477+สุโขทัย!I477+อุตรดิตถ์!I477+อุทัยธานี!I477</f>
        <v>0</v>
      </c>
      <c r="J477" s="188">
        <f ca="1">กำแพงเพชร!J477+เชียงราย!J477+เชียงใหม่!J477+ตาก!J477+นครสวรรค์!J477+น่าน!J477+พะเยา!J477+พิจิตร!J477+พิษณุโลก!J477+เพชรบูรณ์!J477+แพร่!J477+แม่ฮ่องสอน!J477+ลำปาง!J477+ลำพูน!J477+สุโขทัย!J477+อุตรดิตถ์!J477+อุทัยธานี!J477</f>
        <v>120875.84</v>
      </c>
      <c r="K477" s="163">
        <f t="shared" ca="1" si="86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กำแพงเพชร!I478+เชียงราย!I478+เชียงใหม่!I478+ตาก!I478+นครสวรรค์!I478+น่าน!I478+พะเยา!I478+พิจิตร!I478+พิษณุโลก!I478+เพชรบูรณ์!I478+แพร่!I478+แม่ฮ่องสอน!I478+ลำปาง!I478+ลำพูน!I478+สุโขทัย!I478+อุตรดิตถ์!I478+อุทัยธานี!I478</f>
        <v>0</v>
      </c>
      <c r="J478" s="188">
        <f ca="1">กำแพงเพชร!J478+เชียงราย!J478+เชียงใหม่!J478+ตาก!J478+นครสวรรค์!J478+น่าน!J478+พะเยา!J478+พิจิตร!J478+พิษณุโลก!J478+เพชรบูรณ์!J478+แพร่!J478+แม่ฮ่องสอน!J478+ลำปาง!J478+ลำพูน!J478+สุโขทัย!J478+อุตรดิตถ์!J478+อุทัยธานี!J478</f>
        <v>11297</v>
      </c>
      <c r="K478" s="163">
        <f t="shared" ca="1" si="86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กำแพงเพชร!I479+เชียงราย!I479+เชียงใหม่!I479+ตาก!I479+นครสวรรค์!I479+น่าน!I479+พะเยา!I479+พิจิตร!I479+พิษณุโลก!I479+เพชรบูรณ์!I479+แพร่!I479+แม่ฮ่องสอน!I479+ลำปาง!I479+ลำพูน!I479+สุโขทัย!I479+อุตรดิตถ์!I479+อุทัยธานี!I479</f>
        <v>0</v>
      </c>
      <c r="J479" s="188">
        <f ca="1">กำแพงเพชร!J479+เชียงราย!J479+เชียงใหม่!J479+ตาก!J479+นครสวรรค์!J479+น่าน!J479+พะเยา!J479+พิจิตร!J479+พิษณุโลก!J479+เพชรบูรณ์!J479+แพร่!J479+แม่ฮ่องสอน!J479+ลำปาง!J479+ลำพูน!J479+สุโขทัย!J479+อุตรดิตถ์!J479+อุทัยธานี!J479</f>
        <v>17519.810000000001</v>
      </c>
      <c r="K479" s="163">
        <f t="shared" ca="1" si="86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กำแพงเพชร!I480+เชียงราย!I480+เชียงใหม่!I480+ตาก!I480+นครสวรรค์!I480+น่าน!I480+พะเยา!I480+พิจิตร!I480+พิษณุโลก!I480+เพชรบูรณ์!I480+แพร่!I480+แม่ฮ่องสอน!I480+ลำปาง!I480+ลำพูน!I480+สุโขทัย!I480+อุตรดิตถ์!I480+อุทัยธานี!I480</f>
        <v>0</v>
      </c>
      <c r="J480" s="188">
        <f ca="1">กำแพงเพชร!J480+เชียงราย!J480+เชียงใหม่!J480+ตาก!J480+นครสวรรค์!J480+น่าน!J480+พะเยา!J480+พิจิตร!J480+พิษณุโลก!J480+เพชรบูรณ์!J480+แพร่!J480+แม่ฮ่องสอน!J480+ลำปาง!J480+ลำพูน!J480+สุโขทัย!J480+อุตรดิตถ์!J480+อุทัยธานี!J480</f>
        <v>1963</v>
      </c>
      <c r="K480" s="163">
        <f t="shared" ca="1" si="86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ำแพงเพชร!I481+เชียงราย!I481+เชียงใหม่!I481+ตาก!I481+นครสวรรค์!I481+น่าน!I481+พะเยา!I481+พิจิตร!I481+พิษณุโลก!I481+เพชรบูรณ์!I481+แพร่!I481+แม่ฮ่องสอน!I481+ลำปาง!I481+ลำพูน!I481+สุโขทัย!I481+อุตรดิตถ์!I481+อุทัยธานี!I481</f>
        <v>799598</v>
      </c>
      <c r="J481" s="420">
        <f ca="1">กำแพงเพชร!J481+เชียงราย!J481+เชียงใหม่!J481+ตาก!J481+นครสวรรค์!J481+น่าน!J481+พะเยา!J481+พิจิตร!J481+พิษณุโลก!J481+เพชรบูรณ์!J481+แพร่!J481+แม่ฮ่องสอน!J481+ลำปาง!J481+ลำพูน!J481+สุโขทัย!J481+อุตรดิตถ์!J481+อุทัยธานี!J481</f>
        <v>401932.38</v>
      </c>
      <c r="K481" s="201">
        <f t="shared" ca="1" si="86"/>
        <v>50.266806570301576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95173</v>
      </c>
      <c r="J482" s="420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49072</v>
      </c>
      <c r="K482" s="201">
        <f t="shared" ca="1" si="86"/>
        <v>51.560841835394491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188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367068</v>
      </c>
      <c r="K483" s="163">
        <f t="shared" ca="1" si="86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0</v>
      </c>
      <c r="J484" s="188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46186</v>
      </c>
      <c r="K484" s="163">
        <f t="shared" ca="1" si="86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188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22983.72</v>
      </c>
      <c r="K485" s="163">
        <f t="shared" ca="1" si="86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0</v>
      </c>
      <c r="J486" s="188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1886</v>
      </c>
      <c r="K486" s="163">
        <f t="shared" ca="1" si="86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420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7544.66</v>
      </c>
      <c r="K487" s="163">
        <f t="shared" ca="1" si="86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0</v>
      </c>
      <c r="J488" s="420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745</v>
      </c>
      <c r="K488" s="163">
        <f t="shared" ca="1" si="86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188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7376.17</v>
      </c>
      <c r="K489" s="163">
        <f t="shared" ca="1" si="86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0</v>
      </c>
      <c r="J490" s="188">
        <f ca="1"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725</v>
      </c>
      <c r="K490" s="163">
        <f t="shared" ca="1" si="86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กำแพงเพชร!I491+เชียงราย!I491+เชียงใหม่!I491+ตาก!I491+นครสวรรค์!I491+น่าน!I491+พะเยา!I491+พิจิตร!I491+พิษณุโลก!I491+เพชรบูรณ์!I491+แพร่!I491+แม่ฮ่องสอน!I491+ลำปาง!I491+ลำพูน!I491+สุโขทัย!I491+อุตรดิตถ์!I491+อุทัยธานี!I491</f>
        <v>0</v>
      </c>
      <c r="J491" s="188">
        <f ca="1">กำแพงเพชร!J491+เชียงราย!J491+เชียงใหม่!J491+ตาก!J491+นครสวรรค์!J491+น่าน!J491+พะเยา!J491+พิจิตร!J491+พิษณุโลก!J491+เพชรบูรณ์!J491+แพร่!J491+แม่ฮ่องสอน!J491+ลำปาง!J491+ลำพูน!J491+สุโขทัย!J491+อุตรดิตถ์!J491+อุทัยธานี!J491</f>
        <v>168.49</v>
      </c>
      <c r="K491" s="163">
        <f t="shared" ca="1" si="86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กำแพงเพชร!I492+เชียงราย!I492+เชียงใหม่!I492+ตาก!I492+นครสวรรค์!I492+น่าน!I492+พะเยา!I492+พิจิตร!I492+พิษณุโลก!I492+เพชรบูรณ์!I492+แพร่!I492+แม่ฮ่องสอน!I492+ลำปาง!I492+ลำพูน!I492+สุโขทัย!I492+อุตรดิตถ์!I492+อุทัยธานี!I492</f>
        <v>0</v>
      </c>
      <c r="J492" s="188">
        <f ca="1">กำแพงเพชร!J492+เชียงราย!J492+เชียงใหม่!J492+ตาก!J492+นครสวรรค์!J492+น่าน!J492+พะเยา!J492+พิจิตร!J492+พิษณุโลก!J492+เพชรบูรณ์!J492+แพร่!J492+แม่ฮ่องสอน!J492+ลำปาง!J492+ลำพูน!J492+สุโขทัย!J492+อุตรดิตถ์!J492+อุทัยธานี!J492</f>
        <v>20</v>
      </c>
      <c r="K492" s="163">
        <f t="shared" ca="1" si="86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กำแพงเพชร!I493+เชียงราย!I493+เชียงใหม่!I493+ตาก!I493+นครสวรรค์!I493+น่าน!I493+พะเยา!I493+พิจิตร!I493+พิษณุโลก!I493+เพชรบูรณ์!I493+แพร่!I493+แม่ฮ่องสอน!I493+ลำปาง!I493+ลำพูน!I493+สุโขทัย!I493+อุตรดิตถ์!I493+อุทัยธานี!I493</f>
        <v>0</v>
      </c>
      <c r="J493" s="188">
        <f ca="1">กำแพงเพชร!J493+เชียงราย!J493+เชียงใหม่!J493+ตาก!J493+นครสวรรค์!J493+น่าน!J493+พะเยา!J493+พิจิตร!J493+พิษณุโลก!J493+เพชรบูรณ์!J493+แพร่!J493+แม่ฮ่องสอน!J493+ลำปาง!J493+ลำพูน!J493+สุโขทัย!J493+อุตรดิตถ์!J493+อุทัยธานี!J493</f>
        <v>4336</v>
      </c>
      <c r="K493" s="163">
        <f t="shared" ca="1" si="86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กำแพงเพชร!I494+เชียงราย!I494+เชียงใหม่!I494+ตาก!I494+นครสวรรค์!I494+น่าน!I494+พะเยา!I494+พิจิตร!I494+พิษณุโลก!I494+เพชรบูรณ์!I494+แพร่!I494+แม่ฮ่องสอน!I494+ลำปาง!I494+ลำพูน!I494+สุโขทัย!I494+อุตรดิตถ์!I494+อุทัยธานี!I494</f>
        <v>0</v>
      </c>
      <c r="J494" s="436">
        <f ca="1">กำแพงเพชร!J494+เชียงราย!J494+เชียงใหม่!J494+ตาก!J494+นครสวรรค์!J494+น่าน!J494+พะเยา!J494+พิจิตร!J494+พิษณุโลก!J494+เพชรบูรณ์!J494+แพร่!J494+แม่ฮ่องสอน!J494+ลำปาง!J494+ลำพูน!J494+สุโขทัย!J494+อุตรดิตถ์!J494+อุทัยธานี!J494</f>
        <v>255</v>
      </c>
      <c r="K494" s="288">
        <f t="shared" ca="1" si="86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กำแพงเพชร!I495+เชียงราย!I495+เชียงใหม่!I495+ตาก!I495+นครสวรรค์!I495+น่าน!I495+พะเยา!I495+พิจิตร!I495+พิษณุโลก!I495+เพชรบูรณ์!I495+แพร่!I495+แม่ฮ่องสอน!I495+ลำปาง!I495+ลำพูน!I495+สุโขทัย!I495+อุตรดิตถ์!I495+อุทัยธานี!I495</f>
        <v>0</v>
      </c>
      <c r="J495" s="436">
        <f ca="1">กำแพงเพชร!J495+เชียงราย!J495+เชียงใหม่!J495+ตาก!J495+นครสวรรค์!J495+น่าน!J495+พะเยา!J495+พิจิตร!J495+พิษณุโลก!J495+เพชรบูรณ์!J495+แพร่!J495+แม่ฮ่องสอน!J495+ลำปาง!J495+ลำพูน!J495+สุโขทัย!J495+อุตรดิตถ์!J495+อุทัยธานี!J495</f>
        <v>0</v>
      </c>
      <c r="K495" s="163">
        <f t="shared" ca="1" si="86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กำแพงเพชร!I496+เชียงราย!I496+เชียงใหม่!I496+ตาก!I496+นครสวรรค์!I496+น่าน!I496+พะเยา!I496+พิจิตร!I496+พิษณุโลก!I496+เพชรบูรณ์!I496+แพร่!I496+แม่ฮ่องสอน!I496+ลำปาง!I496+ลำพูน!I496+สุโขทัย!I496+อุตรดิตถ์!I496+อุทัยธานี!I496</f>
        <v>0</v>
      </c>
      <c r="J496" s="436">
        <f ca="1">กำแพงเพชร!J496+เชียงราย!J496+เชียงใหม่!J496+ตาก!J496+นครสวรรค์!J496+น่าน!J496+พะเยา!J496+พิจิตร!J496+พิษณุโลก!J496+เพชรบูรณ์!J496+แพร่!J496+แม่ฮ่องสอน!J496+ลำปาง!J496+ลำพูน!J496+สุโขทัย!J496+อุตรดิตถ์!J496+อุทัยธานี!J496</f>
        <v>0</v>
      </c>
      <c r="K496" s="288">
        <f t="shared" ca="1" si="86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ำแพงเพชร!I497+เชียงราย!I497+เชียงใหม่!I497+ตาก!I497+นครสวรรค์!I497+น่าน!I497+พะเยา!I497+พิจิตร!I497+พิษณุโลก!I497+เพชรบูรณ์!I497+แพร่!I497+แม่ฮ่องสอน!I497+ลำปาง!I497+ลำพูน!I497+สุโขทัย!I497+อุตรดิตถ์!I497+อุทัยธานี!I497</f>
        <v>45848</v>
      </c>
      <c r="J497" s="443">
        <f ca="1">กำแพงเพชร!J497+เชียงราย!J497+เชียงใหม่!J497+ตาก!J497+นครสวรรค์!J497+น่าน!J497+พะเยา!J497+พิจิตร!J497+พิษณุโลก!J497+เพชรบูรณ์!J497+แพร่!J497+แม่ฮ่องสอน!J497+ลำปาง!J497+ลำพูน!J497+สุโขทัย!J497+อุตรดิตถ์!J497+อุทัยธานี!J497</f>
        <v>17305.170000000002</v>
      </c>
      <c r="K497" s="444">
        <f t="shared" ca="1" si="86"/>
        <v>37.744656255452803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กำแพงเพชร!I498+เชียงราย!I498+เชียงใหม่!I498+ตาก!I498+นครสวรรค์!I498+น่าน!I498+พะเยา!I498+พิจิตร!I498+พิษณุโลก!I498+เพชรบูรณ์!I498+แพร่!I498+แม่ฮ่องสอน!I498+ลำปาง!I498+ลำพูน!I498+สุโขทัย!I498+อุตรดิตถ์!I498+อุทัยธานี!I498</f>
        <v>45848</v>
      </c>
      <c r="J498" s="420">
        <f ca="1">กำแพงเพชร!J498+เชียงราย!J498+เชียงใหม่!J498+ตาก!J498+นครสวรรค์!J498+น่าน!J498+พะเยา!J498+พิจิตร!J498+พิษณุโลก!J498+เพชรบูรณ์!J498+แพร่!J498+แม่ฮ่องสอน!J498+ลำปาง!J498+ลำพูน!J498+สุโขทัย!J498+อุตรดิตถ์!J498+อุทัยธานี!J498</f>
        <v>17305.170000000002</v>
      </c>
      <c r="K498" s="201">
        <f t="shared" ca="1" si="86"/>
        <v>37.744656255452803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กำแพงเพชร!I499+เชียงราย!I499+เชียงใหม่!I499+ตาก!I499+นครสวรรค์!I499+น่าน!I499+พะเยา!I499+พิจิตร!I499+พิษณุโลก!I499+เพชรบูรณ์!I499+แพร่!I499+แม่ฮ่องสอน!I499+ลำปาง!I499+ลำพูน!I499+สุโขทัย!I499+อุตรดิตถ์!I499+อุทัยธานี!I499</f>
        <v>3736</v>
      </c>
      <c r="J499" s="420">
        <f ca="1">กำแพงเพชร!J499+เชียงราย!J499+เชียงใหม่!J499+ตาก!J499+นครสวรรค์!J499+น่าน!J499+พะเยา!J499+พิจิตร!J499+พิษณุโลก!J499+เพชรบูรณ์!J499+แพร่!J499+แม่ฮ่องสอน!J499+ลำปาง!J499+ลำพูน!J499+สุโขทัย!J499+อุตรดิตถ์!J499+อุทัยธานี!J499</f>
        <v>1322</v>
      </c>
      <c r="K499" s="201">
        <f t="shared" ca="1" si="86"/>
        <v>35.385438972162738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กำแพงเพชร!I500+เชียงราย!I500+เชียงใหม่!I500+ตาก!I500+นครสวรรค์!I500+น่าน!I500+พะเยา!I500+พิจิตร!I500+พิษณุโลก!I500+เพชรบูรณ์!I500+แพร่!I500+แม่ฮ่องสอน!I500+ลำปาง!I500+ลำพูน!I500+สุโขทัย!I500+อุตรดิตถ์!I500+อุทัยธานี!I500</f>
        <v>0</v>
      </c>
      <c r="J500" s="162">
        <f ca="1"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16440.05</v>
      </c>
      <c r="K500" s="163">
        <f t="shared" ca="1" si="86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กำแพงเพชร!I501+เชียงราย!I501+เชียงใหม่!I501+ตาก!I501+นครสวรรค์!I501+น่าน!I501+พะเยา!I501+พิจิตร!I501+พิษณุโลก!I501+เพชรบูรณ์!I501+แพร่!I501+แม่ฮ่องสอน!I501+ลำปาง!I501+ลำพูน!I501+สุโขทัย!I501+อุตรดิตถ์!I501+อุทัยธานี!I501</f>
        <v>0</v>
      </c>
      <c r="J501" s="162">
        <f ca="1"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1241</v>
      </c>
      <c r="K501" s="163">
        <f t="shared" ca="1" si="86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กำแพงเพชร!I502+เชียงราย!I502+เชียงใหม่!I502+ตาก!I502+นครสวรรค์!I502+น่าน!I502+พะเยา!I502+พิจิตร!I502+พิษณุโลก!I502+เพชรบูรณ์!I502+แพร่!I502+แม่ฮ่องสอน!I502+ลำปาง!I502+ลำพูน!I502+สุโขทัย!I502+อุตรดิตถ์!I502+อุทัยธานี!I502</f>
        <v>0</v>
      </c>
      <c r="J502" s="188">
        <f ca="1"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8471.0499999999993</v>
      </c>
      <c r="K502" s="163">
        <f t="shared" ca="1" si="86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กำแพงเพชร!I503+เชียงราย!I503+เชียงใหม่!I503+ตาก!I503+นครสวรรค์!I503+น่าน!I503+พะเยา!I503+พิจิตร!I503+พิษณุโลก!I503+เพชรบูรณ์!I503+แพร่!I503+แม่ฮ่องสอน!I503+ลำปาง!I503+ลำพูน!I503+สุโขทัย!I503+อุตรดิตถ์!I503+อุทัยธานี!I503</f>
        <v>0</v>
      </c>
      <c r="J503" s="197">
        <f ca="1"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644</v>
      </c>
      <c r="K503" s="163">
        <f t="shared" ca="1" si="86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0</v>
      </c>
      <c r="J504" s="188">
        <f ca="1"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7943</v>
      </c>
      <c r="K504" s="163">
        <f t="shared" ca="1" si="86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กำแพงเพชร!I505+เชียงราย!I505+เชียงใหม่!I505+ตาก!I505+นครสวรรค์!I505+น่าน!I505+พะเยา!I505+พิจิตร!I505+พิษณุโลก!I505+เพชรบูรณ์!I505+แพร่!I505+แม่ฮ่องสอน!I505+ลำปาง!I505+ลำพูน!I505+สุโขทัย!I505+อุตรดิตถ์!I505+อุทัยธานี!I505</f>
        <v>0</v>
      </c>
      <c r="J505" s="197">
        <f ca="1"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596</v>
      </c>
      <c r="K505" s="163">
        <f t="shared" ca="1" si="86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กำแพงเพชร!I506+เชียงราย!I506+เชียงใหม่!I506+ตาก!I506+นครสวรรค์!I506+น่าน!I506+พะเยา!I506+พิจิตร!I506+พิษณุโลก!I506+เพชรบูรณ์!I506+แพร่!I506+แม่ฮ่องสอน!I506+ลำปาง!I506+ลำพูน!I506+สุโขทัย!I506+อุตรดิตถ์!I506+อุทัยธานี!I506</f>
        <v>0</v>
      </c>
      <c r="J506" s="188">
        <f ca="1"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26</v>
      </c>
      <c r="K506" s="163">
        <f t="shared" ca="1" si="86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กำแพงเพชร!I507+เชียงราย!I507+เชียงใหม่!I507+ตาก!I507+นครสวรรค์!I507+น่าน!I507+พะเยา!I507+พิจิตร!I507+พิษณุโลก!I507+เพชรบูรณ์!I507+แพร่!I507+แม่ฮ่องสอน!I507+ลำปาง!I507+ลำพูน!I507+สุโขทัย!I507+อุตรดิตถ์!I507+อุทัยธานี!I507</f>
        <v>0</v>
      </c>
      <c r="J507" s="197">
        <f ca="1"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1</v>
      </c>
      <c r="K507" s="163">
        <f t="shared" ca="1" si="86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กำแพงเพชร!I508+เชียงราย!I508+เชียงใหม่!I508+ตาก!I508+นครสวรรค์!I508+น่าน!I508+พะเยา!I508+พิจิตร!I508+พิษณุโลก!I508+เพชรบูรณ์!I508+แพร่!I508+แม่ฮ่องสอน!I508+ลำปาง!I508+ลำพูน!I508+สุโขทัย!I508+อุตรดิตถ์!I508+อุทัยธานี!I508</f>
        <v>0</v>
      </c>
      <c r="J508" s="162">
        <f ca="1"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523.12</v>
      </c>
      <c r="K508" s="163">
        <f t="shared" ca="1" si="86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กำแพงเพชร!I509+เชียงราย!I509+เชียงใหม่!I509+ตาก!I509+นครสวรรค์!I509+น่าน!I509+พะเยา!I509+พิจิตร!I509+พิษณุโลก!I509+เพชรบูรณ์!I509+แพร่!I509+แม่ฮ่องสอน!I509+ลำปาง!I509+ลำพูน!I509+สุโขทัย!I509+อุตรดิตถ์!I509+อุทัยธานี!I509</f>
        <v>0</v>
      </c>
      <c r="J509" s="162">
        <f ca="1"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51</v>
      </c>
      <c r="K509" s="163">
        <f t="shared" ca="1" si="86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กำแพงเพชร!I510+เชียงราย!I510+เชียงใหม่!I510+ตาก!I510+นครสวรรค์!I510+น่าน!I510+พะเยา!I510+พิจิตร!I510+พิษณุโลก!I510+เพชรบูรณ์!I510+แพร่!I510+แม่ฮ่องสอน!I510+ลำปาง!I510+ลำพูน!I510+สุโขทัย!I510+อุตรดิตถ์!I510+อุทัยธานี!I510</f>
        <v>0</v>
      </c>
      <c r="J510" s="197">
        <f ca="1"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457.12</v>
      </c>
      <c r="K510" s="163">
        <f t="shared" ca="1" si="86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กำแพงเพชร!I511+เชียงราย!I511+เชียงใหม่!I511+ตาก!I511+นครสวรรค์!I511+น่าน!I511+พะเยา!I511+พิจิตร!I511+พิษณุโลก!I511+เพชรบูรณ์!I511+แพร่!I511+แม่ฮ่องสอน!I511+ลำปาง!I511+ลำพูน!I511+สุโขทัย!I511+อุตรดิตถ์!I511+อุทัยธานี!I511</f>
        <v>0</v>
      </c>
      <c r="J511" s="197">
        <f ca="1"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41</v>
      </c>
      <c r="K511" s="163">
        <f t="shared" ca="1" si="86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กำแพงเพชร!I512+เชียงราย!I512+เชียงใหม่!I512+ตาก!I512+นครสวรรค์!I512+น่าน!I512+พะเยา!I512+พิจิตร!I512+พิษณุโลก!I512+เพชรบูรณ์!I512+แพร่!I512+แม่ฮ่องสอน!I512+ลำปาง!I512+ลำพูน!I512+สุโขทัย!I512+อุตรดิตถ์!I512+อุทัยธานี!I512</f>
        <v>0</v>
      </c>
      <c r="J512" s="197">
        <f ca="1"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66</v>
      </c>
      <c r="K512" s="163">
        <f t="shared" ca="1" si="86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0</v>
      </c>
      <c r="J513" s="197">
        <f ca="1"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10</v>
      </c>
      <c r="K513" s="163">
        <f t="shared" ca="1" si="86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กำแพงเพชร!I514+เชียงราย!I514+เชียงใหม่!I514+ตาก!I514+นครสวรรค์!I514+น่าน!I514+พะเยา!I514+พิจิตร!I514+พิษณุโลก!I514+เพชรบูรณ์!I514+แพร่!I514+แม่ฮ่องสอน!I514+ลำปาง!I514+ลำพูน!I514+สุโขทัย!I514+อุตรดิตถ์!I514+อุทัยธานี!I514</f>
        <v>0</v>
      </c>
      <c r="J514" s="197">
        <f ca="1"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342</v>
      </c>
      <c r="K514" s="163">
        <f t="shared" ca="1" si="86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กำแพงเพชร!I515+เชียงราย!I515+เชียงใหม่!I515+ตาก!I515+นครสวรรค์!I515+น่าน!I515+พะเยา!I515+พิจิตร!I515+พิษณุโลก!I515+เพชรบูรณ์!I515+แพร่!I515+แม่ฮ่องสอน!I515+ลำปาง!I515+ลำพูน!I515+สุโขทัย!I515+อุตรดิตถ์!I515+อุทัยธานี!I515</f>
        <v>0</v>
      </c>
      <c r="J515" s="197">
        <f ca="1"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30</v>
      </c>
      <c r="K515" s="163">
        <f t="shared" ca="1" si="86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กำแพงเพชร!I516+เชียงราย!I516+เชียงใหม่!I516+ตาก!I516+นครสวรรค์!I516+น่าน!I516+พะเยา!I516+พิจิตร!I516+พิษณุโลก!I516+เพชรบูรณ์!I516+แพร่!I516+แม่ฮ่องสอน!I516+ลำปาง!I516+ลำพูน!I516+สุโขทัย!I516+อุตรดิตถ์!I516+อุทัยธานี!I516</f>
        <v>0</v>
      </c>
      <c r="J516" s="267">
        <f ca="1"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กำแพงเพชร!I517+เชียงราย!I517+เชียงใหม่!I517+ตาก!I517+นครสวรรค์!I517+น่าน!I517+พะเยา!I517+พิจิตร!I517+พิษณุโลก!I517+เพชรบูรณ์!I517+แพร่!I517+แม่ฮ่องสอน!I517+ลำปาง!I517+ลำพูน!I517+สุโขทัย!I517+อุตรดิตถ์!I517+อุทัยธานี!I517</f>
        <v>0</v>
      </c>
      <c r="J517" s="284">
        <f ca="1"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กำแพงเพชร!I518+เชียงราย!I518+เชียงใหม่!I518+ตาก!I518+นครสวรรค์!I518+น่าน!I518+พะเยา!I518+พิจิตร!I518+พิษณุโลก!I518+เพชรบูรณ์!I518+แพร่!I518+แม่ฮ่องสอน!I518+ลำปาง!I518+ลำพูน!I518+สุโขทัย!I518+อุตรดิตถ์!I518+อุทัยธานี!I518</f>
        <v>0</v>
      </c>
      <c r="J518" s="284">
        <f ca="1"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กำแพงเพชร!I519+เชียงราย!I519+เชียงใหม่!I519+ตาก!I519+นครสวรรค์!I519+น่าน!I519+พะเยา!I519+พิจิตร!I519+พิษณุโลก!I519+เพชรบูรณ์!I519+แพร่!I519+แม่ฮ่องสอน!I519+ลำปาง!I519+ลำพูน!I519+สุโขทัย!I519+อุตรดิตถ์!I519+อุทัยธานี!I519</f>
        <v>0</v>
      </c>
      <c r="J519" s="187">
        <f ca="1"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กำแพงเพชร!I520+เชียงราย!I520+เชียงใหม่!I520+ตาก!I520+นครสวรรค์!I520+น่าน!I520+พะเยา!I520+พิจิตร!I520+พิษณุโลก!I520+เพชรบูรณ์!I520+แพร่!I520+แม่ฮ่องสอน!I520+ลำปาง!I520+ลำพูน!I520+สุโขทัย!I520+อุตรดิตถ์!I520+อุทัยธานี!I520</f>
        <v>0</v>
      </c>
      <c r="J520" s="187">
        <f ca="1">กำแพงเพชร!J520+เชียงราย!J520+เชียงใหม่!J520+ตาก!J520+นครสวรรค์!J520+น่าน!J520+พะเยา!J520+พิจิตร!J520+พิษณุโลก!J520+เพชรบูรณ์!J520+แพร่!J520+แม่ฮ่องสอน!J520+ลำปาง!J520+ลำพูน!J520+สุโขทัย!J520+อุตรดิตถ์!J520+อุทัยธานี!J520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0</v>
      </c>
      <c r="J521" s="187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0</v>
      </c>
      <c r="J522" s="187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0</v>
      </c>
      <c r="J523" s="187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5100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0</v>
      </c>
      <c r="J524" s="187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364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5100</v>
      </c>
      <c r="J525" s="284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1751.77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364</v>
      </c>
      <c r="J526" s="284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165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0</v>
      </c>
      <c r="J527" s="197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538.03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0</v>
      </c>
      <c r="J528" s="197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48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กำแพงเพชร!I529+เชียงราย!I529+เชียงใหม่!I529+ตาก!I529+นครสวรรค์!I529+น่าน!I529+พะเยา!I529+พิจิตร!I529+พิษณุโลก!I529+เพชรบูรณ์!I529+แพร่!I529+แม่ฮ่องสอน!I529+ลำปาง!I529+ลำพูน!I529+สุโขทัย!I529+อุตรดิตถ์!I529+อุทัยธานี!I529</f>
        <v>0</v>
      </c>
      <c r="J529" s="197">
        <f ca="1">กำแพงเพชร!J529+เชียงราย!J529+เชียงใหม่!J529+ตาก!J529+นครสวรรค์!J529+น่าน!J529+พะเยา!J529+พิจิตร!J529+พิษณุโลก!J529+เพชรบูรณ์!J529+แพร่!J529+แม่ฮ่องสอน!J529+ลำปาง!J529+ลำพูน!J529+สุโขทัย!J529+อุตรดิตถ์!J529+อุทัยธานี!J529</f>
        <v>1050.74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กำแพงเพชร!I530+เชียงราย!I530+เชียงใหม่!I530+ตาก!I530+นครสวรรค์!I530+น่าน!I530+พะเยา!I530+พิจิตร!I530+พิษณุโลก!I530+เพชรบูรณ์!I530+แพร่!I530+แม่ฮ่องสอน!I530+ลำปาง!I530+ลำพูน!I530+สุโขทัย!I530+อุตรดิตถ์!I530+อุทัยธานี!I530</f>
        <v>0</v>
      </c>
      <c r="J530" s="197">
        <f ca="1">กำแพงเพชร!J530+เชียงราย!J530+เชียงใหม่!J530+ตาก!J530+นครสวรรค์!J530+น่าน!J530+พะเยา!J530+พิจิตร!J530+พิษณุโลก!J530+เพชรบูรณ์!J530+แพร่!J530+แม่ฮ่องสอน!J530+ลำปาง!J530+ลำพูน!J530+สุโขทัย!J530+อุตรดิตถ์!J530+อุทัยธานี!J530</f>
        <v>115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กำแพงเพชร!I531+เชียงราย!I531+เชียงใหม่!I531+ตาก!I531+นครสวรรค์!I531+น่าน!I531+พะเยา!I531+พิจิตร!I531+พิษณุโลก!I531+เพชรบูรณ์!I531+แพร่!I531+แม่ฮ่องสอน!I531+ลำปาง!I531+ลำพูน!I531+สุโขทัย!I531+อุตรดิตถ์!I531+อุทัยธานี!I531</f>
        <v>0</v>
      </c>
      <c r="J531" s="197">
        <f ca="1">กำแพงเพชร!J531+เชียงราย!J531+เชียงใหม่!J531+ตาก!J531+นครสวรรค์!J531+น่าน!J531+พะเยา!J531+พิจิตร!J531+พิษณุโลก!J531+เพชรบูรณ์!J531+แพร่!J531+แม่ฮ่องสอน!J531+ลำปาง!J531+ลำพูน!J531+สุโขทัย!J531+อุตรดิตถ์!J531+อุทัยธานี!J531</f>
        <v>163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ำแพงเพชร!I532+เชียงราย!I532+เชียงใหม่!I532+ตาก!I532+นครสวรรค์!I532+น่าน!I532+พะเยา!I532+พิจิตร!I532+พิษณุโลก!I532+เพชรบูรณ์!I532+แพร่!I532+แม่ฮ่องสอน!I532+ลำปาง!I532+ลำพูน!I532+สุโขทัย!I532+อุตรดิตถ์!I532+อุทัยธานี!I532</f>
        <v>0</v>
      </c>
      <c r="J532" s="466">
        <f ca="1">กำแพงเพชร!J532+เชียงราย!J532+เชียงใหม่!J532+ตาก!J532+นครสวรรค์!J532+น่าน!J532+พะเยา!J532+พิจิตร!J532+พิษณุโลก!J532+เพชรบูรณ์!J532+แพร่!J532+แม่ฮ่องสอน!J532+ลำปาง!J532+ลำพูน!J532+สุโขทัย!J532+อุตรดิตถ์!J532+อุทัยธานี!J532</f>
        <v>2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กำแพงเพชร!I533+เชียงราย!I533+เชียงใหม่!I533+ตาก!I533+นครสวรรค์!I533+น่าน!I533+พะเยา!I533+พิจิตร!I533+พิษณุโลก!I533+เพชรบูรณ์!I533+แพร่!I533+แม่ฮ่องสอน!I533+ลำปาง!I533+ลำพูน!I533+สุโขทัย!I533+อุตรดิตถ์!I533+อุทัยธานี!I533</f>
        <v>388</v>
      </c>
      <c r="J533" s="409">
        <f ca="1">กำแพงเพชร!J533+เชียงราย!J533+เชียงใหม่!J533+ตาก!J533+นครสวรรค์!J533+น่าน!J533+พะเยา!J533+พิจิตร!J533+พิษณุโลก!J533+เพชรบูรณ์!J533+แพร่!J533+แม่ฮ่องสอน!J533+ลำปาง!J533+ลำพูน!J533+สุโขทัย!J533+อุตรดิตถ์!J533+อุทัยธานี!J533</f>
        <v>388</v>
      </c>
      <c r="K533" s="410">
        <f ca="1">IF(I533&gt;0,J533*100/I533,0)</f>
        <v>100</v>
      </c>
      <c r="L533" s="411">
        <f ca="1">กำแพงเพชร!L533+เชียงราย!L533+เชียงใหม่!L533+ตาก!L533+นครสวรรค์!L533+น่าน!L533+พะเยา!L533+พิจิตร!L533+พิษณุโลก!L533+เพชรบูรณ์!L533+แพร่!L533+แม่ฮ่องสอน!L533+ลำปาง!L533+ลำพูน!L533+สุโขทัย!L533+อุตรดิตถ์!L533+อุทัยธานี!L533</f>
        <v>595700</v>
      </c>
      <c r="M533" s="411"/>
      <c r="N533" s="411">
        <f ca="1">กำแพงเพชร!N533+เชียงราย!N533+เชียงใหม่!N533+ตาก!N533+นครสวรรค์!N533+น่าน!N533+พะเยา!N533+พิจิตร!N533+พิษณุโลก!N533+เพชรบูรณ์!N533+แพร่!N533+แม่ฮ่องสอน!N533+ลำปาง!N533+ลำพูน!N533+สุโขทัย!N533+อุตรดิตถ์!N533+อุทัยธานี!N533</f>
        <v>417579.23999999987</v>
      </c>
      <c r="O533" s="411">
        <f t="shared" ref="O533:O537" ca="1" si="87">+IF(L533&gt;0,N533*100/L533,0)</f>
        <v>70.098915561524237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ำแพงเพชร!L534+เชียงราย!L534+เชียงใหม่!L534+ตาก!L534+นครสวรรค์!L534+น่าน!L534+พะเยา!L534+พิจิตร!L534+พิษณุโลก!L534+เพชรบูรณ์!L534+แพร่!L534+แม่ฮ่องสอน!L534+ลำปาง!L534+ลำพูน!L534+สุโขทัย!L534+อุตรดิตถ์!L534+อุทัยธานี!L534</f>
        <v>0</v>
      </c>
      <c r="M534" s="164"/>
      <c r="N534" s="168">
        <f ca="1">กำแพงเพชร!N534+เชียงราย!N534+เชียงใหม่!N534+ตาก!N534+นครสวรรค์!N534+น่าน!N534+พะเยา!N534+พิจิตร!N534+พิษณุโลก!N534+เพชรบูรณ์!N534+แพร่!N534+แม่ฮ่องสอน!N534+ลำปาง!N534+ลำพูน!N534+สุโขทัย!N534+อุตรดิตถ์!N534+อุทัยธานี!N534</f>
        <v>0</v>
      </c>
      <c r="O534" s="168">
        <f t="shared" ca="1" si="87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ำแพงเพชร!L535+เชียงราย!L535+เชียงใหม่!L535+ตาก!L535+นครสวรรค์!L535+น่าน!L535+พะเยา!L535+พิจิตร!L535+พิษณุโลก!L535+เพชรบูรณ์!L535+แพร่!L535+แม่ฮ่องสอน!L535+ลำปาง!L535+ลำพูน!L535+สุโขทัย!L535+อุตรดิตถ์!L535+อุทัยธานี!L535</f>
        <v>595700</v>
      </c>
      <c r="M535" s="165"/>
      <c r="N535" s="168">
        <f ca="1">กำแพงเพชร!N535+เชียงราย!N535+เชียงใหม่!N535+ตาก!N535+นครสวรรค์!N535+น่าน!N535+พะเยา!N535+พิจิตร!N535+พิษณุโลก!N535+เพชรบูรณ์!N535+แพร่!N535+แม่ฮ่องสอน!N535+ลำปาง!N535+ลำพูน!N535+สุโขทัย!N535+อุตรดิตถ์!N535+อุทัยธานี!N535</f>
        <v>417579.23999999987</v>
      </c>
      <c r="O535" s="168">
        <f t="shared" ca="1" si="87"/>
        <v>70.098915561524237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กำแพงเพชร!L536+เชียงราย!L536+เชียงใหม่!L536+ตาก!L536+นครสวรรค์!L536+น่าน!L536+พะเยา!L536+พิจิตร!L536+พิษณุโลก!L536+เพชรบูรณ์!L536+แพร่!L536+แม่ฮ่องสอน!L536+ลำปาง!L536+ลำพูน!L536+สุโขทัย!L536+อุตรดิตถ์!L536+อุทัยธานี!L536</f>
        <v>0</v>
      </c>
      <c r="M536" s="168"/>
      <c r="N536" s="168">
        <f ca="1">กำแพงเพชร!N536+เชียงราย!N536+เชียงใหม่!N536+ตาก!N536+นครสวรรค์!N536+น่าน!N536+พะเยา!N536+พิจิตร!N536+พิษณุโลก!N536+เพชรบูรณ์!N536+แพร่!N536+แม่ฮ่องสอน!N536+ลำปาง!N536+ลำพูน!N536+สุโขทัย!N536+อุตรดิตถ์!N536+อุทัยธานี!N536</f>
        <v>0</v>
      </c>
      <c r="O536" s="168">
        <f t="shared" ca="1" si="87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กำแพงเพชร!L537+เชียงราย!L537+เชียงใหม่!L537+ตาก!L537+นครสวรรค์!L537+น่าน!L537+พะเยา!L537+พิจิตร!L537+พิษณุโลก!L537+เพชรบูรณ์!L537+แพร่!L537+แม่ฮ่องสอน!L537+ลำปาง!L537+ลำพูน!L537+สุโขทัย!L537+อุตรดิตถ์!L537+อุทัยธานี!L537</f>
        <v>595700</v>
      </c>
      <c r="M537" s="168"/>
      <c r="N537" s="168">
        <f ca="1">กำแพงเพชร!N537+เชียงราย!N537+เชียงใหม่!N537+ตาก!N537+นครสวรรค์!N537+น่าน!N537+พะเยา!N537+พิจิตร!N537+พิษณุโลก!N537+เพชรบูรณ์!N537+แพร่!N537+แม่ฮ่องสอน!N537+ลำปาง!N537+ลำพูน!N537+สุโขทัย!N537+อุตรดิตถ์!N537+อุทัยธานี!N537</f>
        <v>417579.23999999987</v>
      </c>
      <c r="O537" s="168">
        <f t="shared" ca="1" si="87"/>
        <v>70.098915561524237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กำแพงเพชร!N538+เชียงราย!N538+เชียงใหม่!N538+ตาก!N538+นครสวรรค์!N538+น่าน!N538+พะเยา!N538+พิจิตร!N538+พิษณุโลก!N538+เพชรบูรณ์!N538+แพร่!N538+แม่ฮ่องสอน!N538+ลำปาง!N538+ลำพูน!N538+สุโขทัย!N538+อุตรดิตถ์!N538+อุทัยธานี!N538</f>
        <v>326374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กำแพงเพชร!N539+เชียงราย!N539+เชียงใหม่!N539+ตาก!N539+นครสวรรค์!N539+น่าน!N539+พะเยา!N539+พิจิตร!N539+พิษณุโลก!N539+เพชรบูรณ์!N539+แพร่!N539+แม่ฮ่องสอน!N539+ลำปาง!N539+ลำพูน!N539+สุโขทัย!N539+อุตรดิตถ์!N539+อุทัยธานี!N539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กำแพงเพชร!N540+เชียงราย!N540+เชียงใหม่!N540+ตาก!N540+นครสวรรค์!N540+น่าน!N540+พะเยา!N540+พิจิตร!N540+พิษณุโลก!N540+เพชรบูรณ์!N540+แพร่!N540+แม่ฮ่องสอน!N540+ลำปาง!N540+ลำพูน!N540+สุโขทัย!N540+อุตรดิตถ์!N540+อุทัยธานี!N540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กำแพงเพชร!N541+เชียงราย!N541+เชียงใหม่!N541+ตาก!N541+นครสวรรค์!N541+น่าน!N541+พะเยา!N541+พิจิตร!N541+พิษณุโลก!N541+เพชรบูรณ์!N541+แพร่!N541+แม่ฮ่องสอน!N541+ลำปาง!N541+ลำพูน!N541+สุโขทัย!N541+อุตรดิตถ์!N541+อุทัยธานี!N541</f>
        <v>91205.24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กำแพงเพชร!J543+เชียงราย!J543+เชียงใหม่!J543+ตาก!J543+นครสวรรค์!J543+น่าน!J543+พะเยา!J543+พิจิตร!J543+พิษณุโลก!J543+เพชรบูรณ์!J543+แพร่!J543+แม่ฮ่องสอน!J543+ลำปาง!J543+ลำพูน!J543+สุโขทัย!J543+อุตรดิตถ์!J543+อุทัยธานี!J543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กำแพงเพชร!J544+เชียงราย!J544+เชียงใหม่!J544+ตาก!J544+นครสวรรค์!J544+น่าน!J544+พะเยา!J544+พิจิตร!J544+พิษณุโลก!J544+เพชรบูรณ์!J544+แพร่!J544+แม่ฮ่องสอน!J544+ลำปาง!J544+ลำพูน!J544+สุโขทัย!J544+อุตรดิตถ์!J544+อุทัยธานี!J544</f>
        <v>17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กำแพงเพชร!J545+เชียงราย!J545+เชียงใหม่!J545+ตาก!J545+นครสวรรค์!J545+น่าน!J545+พะเยา!J545+พิจิตร!J545+พิษณุโลก!J545+เพชรบูรณ์!J545+แพร่!J545+แม่ฮ่องสอน!J545+ลำปาง!J545+ลำพูน!J545+สุโขทัย!J545+อุตรดิตถ์!J545+อุทัยธานี!J545</f>
        <v>17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กำแพงเพชร!J546+เชียงราย!J546+เชียงใหม่!J546+ตาก!J546+นครสวรรค์!J546+น่าน!J546+พะเยา!J546+พิจิตร!J546+พิษณุโลก!J546+เพชรบูรณ์!J546+แพร่!J546+แม่ฮ่องสอน!J546+ลำปาง!J546+ลำพูน!J546+สุโขทัย!J546+อุตรดิตถ์!J546+อุทัยธานี!J546</f>
        <v>17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กำแพงเพชร!I547+เชียงราย!I547+เชียงใหม่!I547+ตาก!I547+นครสวรรค์!I547+น่าน!I547+พะเยา!I547+พิจิตร!I547+พิษณุโลก!I547+เพชรบูรณ์!I547+แพร่!I547+แม่ฮ่องสอน!I547+ลำปาง!I547+ลำพูน!I547+สุโขทัย!I547+อุตรดิตถ์!I547+อุทัยธานี!I547</f>
        <v>388</v>
      </c>
      <c r="J547" s="188">
        <f ca="1">กำแพงเพชร!J547+เชียงราย!J547+เชียงใหม่!J547+ตาก!J547+นครสวรรค์!J547+น่าน!J547+พะเยา!J547+พิจิตร!J547+พิษณุโลก!J547+เพชรบูรณ์!J547+แพร่!J547+แม่ฮ่องสอน!J547+ลำปาง!J547+ลำพูน!J547+สุโขทัย!J547+อุตรดิตถ์!J547+อุทัยธานี!J547</f>
        <v>388</v>
      </c>
      <c r="K547" s="163">
        <f t="shared" ref="K547:K548" ca="1" si="88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กำแพงเพชร!J548+เชียงราย!J548+เชียงใหม่!J548+ตาก!J548+นครสวรรค์!J548+น่าน!J548+พะเยา!J548+พิจิตร!J548+พิษณุโลก!J548+เพชรบูรณ์!J548+แพร่!J548+แม่ฮ่องสอน!J548+ลำปาง!J548+ลำพูน!J548+สุโขทัย!J548+อุตรดิตถ์!J548+อุทัยธานี!J548</f>
        <v>0</v>
      </c>
      <c r="K548" s="163">
        <f t="shared" ca="1" si="88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กำแพงเพชร!J549+เชียงราย!J549+เชียงใหม่!J549+ตาก!J549+นครสวรรค์!J549+น่าน!J549+พะเยา!J549+พิจิตร!J549+พิษณุโลก!J549+เพชรบูรณ์!J549+แพร่!J549+แม่ฮ่องสอน!J549+ลำปาง!J549+ลำพูน!J549+สุโขทัย!J549+อุตรดิตถ์!J549+อุทัยธานี!J549</f>
        <v>3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ำแพงเพชร!J550+เชียงราย!J550+เชียงใหม่!J550+ตาก!J550+นครสวรรค์!J550+น่าน!J550+พะเยา!J550+พิจิตร!J550+พิษณุโลก!J550+เพชรบูรณ์!J550+แพร่!J550+แม่ฮ่องสอน!J550+ลำปาง!J550+ลำพูน!J550+สุโขทัย!J550+อุตรดิตถ์!J550+อุทัยธานี!J550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กำแพงเพชร!I551+เชียงราย!I551+เชียงใหม่!I551+ตาก!I551+นครสวรรค์!I551+น่าน!I551+พะเยา!I551+พิจิตร!I551+พิษณุโลก!I551+เพชรบูรณ์!I551+แพร่!I551+แม่ฮ่องสอน!I551+ลำปาง!I551+ลำพูน!I551+สุโขทัย!I551+อุตรดิตถ์!I551+อุทัยธานี!I551</f>
        <v>25000</v>
      </c>
      <c r="J551" s="409">
        <f ca="1">กำแพงเพชร!J551+เชียงราย!J551+เชียงใหม่!J551+ตาก!J551+นครสวรรค์!J551+น่าน!J551+พะเยา!J551+พิจิตร!J551+พิษณุโลก!J551+เพชรบูรณ์!J551+แพร่!J551+แม่ฮ่องสอน!J551+ลำปาง!J551+ลำพูน!J551+สุโขทัย!J551+อุตรดิตถ์!J551+อุทัยธานี!J551</f>
        <v>18681</v>
      </c>
      <c r="K551" s="410">
        <f ca="1">IF(I551&gt;0,J551*100/I551,0)</f>
        <v>74.724000000000004</v>
      </c>
      <c r="L551" s="411">
        <f ca="1">กำแพงเพชร!L551+เชียงราย!L551+เชียงใหม่!L551+ตาก!L551+นครสวรรค์!L551+น่าน!L551+พะเยา!L551+พิจิตร!L551+พิษณุโลก!L551+เพชรบูรณ์!L551+แพร่!L551+แม่ฮ่องสอน!L551+ลำปาง!L551+ลำพูน!L551+สุโขทัย!L551+อุตรดิตถ์!L551+อุทัยธานี!L551</f>
        <v>1530000</v>
      </c>
      <c r="M551" s="411"/>
      <c r="N551" s="411">
        <f ca="1">กำแพงเพชร!N551+เชียงราย!N551+เชียงใหม่!N551+ตาก!N551+นครสวรรค์!N551+น่าน!N551+พะเยา!N551+พิจิตร!N551+พิษณุโลก!N551+เพชรบูรณ์!N551+แพร่!N551+แม่ฮ่องสอน!N551+ลำปาง!N551+ลำพูน!N551+สุโขทัย!N551+อุตรดิตถ์!N551+อุทัยธานี!N551</f>
        <v>758975.76999999909</v>
      </c>
      <c r="O551" s="411">
        <f t="shared" ref="O551:O555" ca="1" si="89">+IF(L551&gt;0,N551*100/L551,0)</f>
        <v>49.606259477124127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ำแพงเพชร!L552+เชียงราย!L552+เชียงใหม่!L552+ตาก!L552+นครสวรรค์!L552+น่าน!L552+พะเยา!L552+พิจิตร!L552+พิษณุโลก!L552+เพชรบูรณ์!L552+แพร่!L552+แม่ฮ่องสอน!L552+ลำปาง!L552+ลำพูน!L552+สุโขทัย!L552+อุตรดิตถ์!L552+อุทัยธานี!L552</f>
        <v>0</v>
      </c>
      <c r="M552" s="164"/>
      <c r="N552" s="168">
        <f ca="1">กำแพงเพชร!N552+เชียงราย!N552+เชียงใหม่!N552+ตาก!N552+นครสวรรค์!N552+น่าน!N552+พะเยา!N552+พิจิตร!N552+พิษณุโลก!N552+เพชรบูรณ์!N552+แพร่!N552+แม่ฮ่องสอน!N552+ลำปาง!N552+ลำพูน!N552+สุโขทัย!N552+อุตรดิตถ์!N552+อุทัยธานี!N552</f>
        <v>0</v>
      </c>
      <c r="O552" s="168">
        <f t="shared" ca="1" si="89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ำแพงเพชร!L553+เชียงราย!L553+เชียงใหม่!L553+ตาก!L553+นครสวรรค์!L553+น่าน!L553+พะเยา!L553+พิจิตร!L553+พิษณุโลก!L553+เพชรบูรณ์!L553+แพร่!L553+แม่ฮ่องสอน!L553+ลำปาง!L553+ลำพูน!L553+สุโขทัย!L553+อุตรดิตถ์!L553+อุทัยธานี!L553</f>
        <v>1530000</v>
      </c>
      <c r="M553" s="165"/>
      <c r="N553" s="168">
        <f ca="1">กำแพงเพชร!N553+เชียงราย!N553+เชียงใหม่!N553+ตาก!N553+นครสวรรค์!N553+น่าน!N553+พะเยา!N553+พิจิตร!N553+พิษณุโลก!N553+เพชรบูรณ์!N553+แพร่!N553+แม่ฮ่องสอน!N553+ลำปาง!N553+ลำพูน!N553+สุโขทัย!N553+อุตรดิตถ์!N553+อุทัยธานี!N553</f>
        <v>758975.76999999909</v>
      </c>
      <c r="O553" s="168">
        <f t="shared" ca="1" si="89"/>
        <v>49.606259477124127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กำแพงเพชร!L554+เชียงราย!L554+เชียงใหม่!L554+ตาก!L554+นครสวรรค์!L554+น่าน!L554+พะเยา!L554+พิจิตร!L554+พิษณุโลก!L554+เพชรบูรณ์!L554+แพร่!L554+แม่ฮ่องสอน!L554+ลำปาง!L554+ลำพูน!L554+สุโขทัย!L554+อุตรดิตถ์!L554+อุทัยธานี!L554</f>
        <v>0</v>
      </c>
      <c r="M554" s="168"/>
      <c r="N554" s="168">
        <f ca="1">กำแพงเพชร!N554+เชียงราย!N554+เชียงใหม่!N554+ตาก!N554+นครสวรรค์!N554+น่าน!N554+พะเยา!N554+พิจิตร!N554+พิษณุโลก!N554+เพชรบูรณ์!N554+แพร่!N554+แม่ฮ่องสอน!N554+ลำปาง!N554+ลำพูน!N554+สุโขทัย!N554+อุตรดิตถ์!N554+อุทัยธานี!N554</f>
        <v>0</v>
      </c>
      <c r="O554" s="168">
        <f t="shared" ca="1" si="89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กำแพงเพชร!L555+เชียงราย!L555+เชียงใหม่!L555+ตาก!L555+นครสวรรค์!L555+น่าน!L555+พะเยา!L555+พิจิตร!L555+พิษณุโลก!L555+เพชรบูรณ์!L555+แพร่!L555+แม่ฮ่องสอน!L555+ลำปาง!L555+ลำพูน!L555+สุโขทัย!L555+อุตรดิตถ์!L555+อุทัยธานี!L555</f>
        <v>1530000</v>
      </c>
      <c r="M555" s="168"/>
      <c r="N555" s="168">
        <f ca="1">กำแพงเพชร!N555+เชียงราย!N555+เชียงใหม่!N555+ตาก!N555+นครสวรรค์!N555+น่าน!N555+พะเยา!N555+พิจิตร!N555+พิษณุโลก!N555+เพชรบูรณ์!N555+แพร่!N555+แม่ฮ่องสอน!N555+ลำปาง!N555+ลำพูน!N555+สุโขทัย!N555+อุตรดิตถ์!N555+อุทัยธานี!N555</f>
        <v>758975.76999999909</v>
      </c>
      <c r="O555" s="168">
        <f t="shared" ca="1" si="89"/>
        <v>49.606259477124127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กำแพงเพชร!N556+เชียงราย!N556+เชียงใหม่!N556+ตาก!N556+นครสวรรค์!N556+น่าน!N556+พะเยา!N556+พิจิตร!N556+พิษณุโลก!N556+เพชรบูรณ์!N556+แพร่!N556+แม่ฮ่องสอน!N556+ลำปาง!N556+ลำพูน!N556+สุโขทัย!N556+อุตรดิตถ์!N556+อุทัยธานี!N556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กำแพงเพชร!N557+เชียงราย!N557+เชียงใหม่!N557+ตาก!N557+นครสวรรค์!N557+น่าน!N557+พะเยา!N557+พิจิตร!N557+พิษณุโลก!N557+เพชรบูรณ์!N557+แพร่!N557+แม่ฮ่องสอน!N557+ลำปาง!N557+ลำพูน!N557+สุโขทัย!N557+อุตรดิตถ์!N557+อุทัยธานี!N557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กำแพงเพชร!N558+เชียงราย!N558+เชียงใหม่!N558+ตาก!N558+นครสวรรค์!N558+น่าน!N558+พะเยา!N558+พิจิตร!N558+พิษณุโลก!N558+เพชรบูรณ์!N558+แพร่!N558+แม่ฮ่องสอน!N558+ลำปาง!N558+ลำพูน!N558+สุโขทัย!N558+อุตรดิตถ์!N558+อุทัยธานี!N558</f>
        <v>289202.76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กำแพงเพชร!N559+เชียงราย!N559+เชียงใหม่!N559+ตาก!N559+นครสวรรค์!N559+น่าน!N559+พะเยา!N559+พิจิตร!N559+พิษณุโลก!N559+เพชรบูรณ์!N559+แพร่!N559+แม่ฮ่องสอน!N559+ลำปาง!N559+ลำพูน!N559+สุโขทัย!N559+อุตรดิตถ์!N559+อุทัยธานี!N559</f>
        <v>469773.01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กำแพงเพชร!I560+เชียงราย!I560+เชียงใหม่!I560+ตาก!I560+นครสวรรค์!I560+น่าน!I560+พะเยา!I560+พิจิตร!I560+พิษณุโลก!I560+เพชรบูรณ์!I560+แพร่!I560+แม่ฮ่องสอน!I560+ลำปาง!I560+ลำพูน!I560+สุโขทัย!I560+อุตรดิตถ์!I560+อุทัยธานี!I560</f>
        <v>25000</v>
      </c>
      <c r="J560" s="162">
        <f ca="1">กำแพงเพชร!J560+เชียงราย!J560+เชียงใหม่!J560+ตาก!J560+นครสวรรค์!J560+น่าน!J560+พะเยา!J560+พิจิตร!J560+พิษณุโลก!J560+เพชรบูรณ์!J560+แพร่!J560+แม่ฮ่องสอน!J560+ลำปาง!J560+ลำพูน!J560+สุโขทัย!J560+อุตรดิตถ์!J560+อุทัยธานี!J560</f>
        <v>18681</v>
      </c>
      <c r="K560" s="224">
        <f ca="1">กำแพงเพชร!K560+เชียงราย!K560+เชียงใหม่!K560+ตาก!K560+นครสวรรค์!K560+น่าน!K560+พะเยา!K560+พิจิตร!K560+พิษณุโลก!K560+เพชรบูรณ์!K560+แพร่!K560+แม่ฮ่องสอน!K560+ลำปาง!K560+ลำพูน!K560+สุโขทัย!K560+อุตรดิตถ์!K560+อุทัยธานี!K560</f>
        <v>374.76666666666665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กำแพงเพชร!I561+เชียงราย!I561+เชียงใหม่!I561+ตาก!I561+นครสวรรค์!I561+น่าน!I561+พะเยา!I561+พิจิตร!I561+พิษณุโลก!I561+เพชรบูรณ์!I561+แพร่!I561+แม่ฮ่องสอน!I561+ลำปาง!I561+ลำพูน!I561+สุโขทัย!I561+อุตรดิตถ์!I561+อุทัยธานี!I561</f>
        <v>0</v>
      </c>
      <c r="J561" s="203">
        <f ca="1">กำแพงเพชร!J561+เชียงราย!J561+เชียงใหม่!J561+ตาก!J561+นครสวรรค์!J561+น่าน!J561+พะเยา!J561+พิจิตร!J561+พิษณุโลก!J561+เพชรบูรณ์!J561+แพร่!J561+แม่ฮ่องสอน!J561+ลำปาง!J561+ลำพูน!J561+สุโขทัย!J561+อุตรดิตถ์!J561+อุทัยธานี!J561</f>
        <v>1943</v>
      </c>
      <c r="K561" s="224">
        <f ca="1">กำแพงเพชร!K561+เชียงราย!K561+เชียงใหม่!K561+ตาก!K561+นครสวรรค์!K561+น่าน!K561+พะเยา!K561+พิจิตร!K561+พิษณุโลก!K561+เพชรบูรณ์!K561+แพร่!K561+แม่ฮ่องสอน!K561+ลำปาง!K561+ลำพูน!K561+สุโขทัย!K561+อุตรดิตถ์!K561+อุทัยธานี!K561</f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กำแพงเพชร!I564+เชียงราย!I564+เชียงใหม่!I564+ตาก!I564+นครสวรรค์!I564+น่าน!I564+พะเยา!I564+พิจิตร!I564+พิษณุโลก!I564+เพชรบูรณ์!I564+แพร่!I564+แม่ฮ่องสอน!I564+ลำปาง!I564+ลำพูน!I564+สุโขทัย!I564+อุตรดิตถ์!I564+อุทัยธานี!I564</f>
        <v>32550</v>
      </c>
      <c r="J564" s="370">
        <f ca="1">กำแพงเพชร!J564+เชียงราย!J564+เชียงใหม่!J564+ตาก!J564+นครสวรรค์!J564+น่าน!J564+พะเยา!J564+พิจิตร!J564+พิษณุโลก!J564+เพชรบูรณ์!J564+แพร่!J564+แม่ฮ่องสอน!J564+ลำปาง!J564+ลำพูน!J564+สุโขทัย!J564+อุตรดิตถ์!J564+อุทัยธานี!J564</f>
        <v>54729</v>
      </c>
      <c r="K564" s="371">
        <f ca="1">IF(I564&gt;0,J564*100/I564,0)</f>
        <v>168.13824884792626</v>
      </c>
      <c r="L564" s="372">
        <f ca="1">กำแพงเพชร!L564+เชียงราย!L564+เชียงใหม่!L564+ตาก!L564+นครสวรรค์!L564+น่าน!L564+พะเยา!L564+พิจิตร!L564+พิษณุโลก!L564+เพชรบูรณ์!L564+แพร่!L564+แม่ฮ่องสอน!L564+ลำปาง!L564+ลำพูน!L564+สุโขทัย!L564+อุตรดิตถ์!L564+อุทัยธานี!L564</f>
        <v>2382160</v>
      </c>
      <c r="M564" s="372"/>
      <c r="N564" s="372">
        <f ca="1">กำแพงเพชร!N564+เชียงราย!N564+เชียงใหม่!N564+ตาก!N564+นครสวรรค์!N564+น่าน!N564+พะเยา!N564+พิจิตร!N564+พิษณุโลก!N564+เพชรบูรณ์!N564+แพร่!N564+แม่ฮ่องสอน!N564+ลำปาง!N564+ลำพูน!N564+สุโขทัย!N564+อุตรดิตถ์!N564+อุทัยธานี!N564</f>
        <v>1246946.7699999991</v>
      </c>
      <c r="O564" s="372">
        <f t="shared" ref="O564:O568" ca="1" si="90">+IF(L564&gt;0,N564*100/L564,0)</f>
        <v>52.345214847029546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ำแพงเพชร!L565+เชียงราย!L565+เชียงใหม่!L565+ตาก!L565+นครสวรรค์!L565+น่าน!L565+พะเยา!L565+พิจิตร!L565+พิษณุโลก!L565+เพชรบูรณ์!L565+แพร่!L565+แม่ฮ่องสอน!L565+ลำปาง!L565+ลำพูน!L565+สุโขทัย!L565+อุตรดิตถ์!L565+อุทัยธานี!L565</f>
        <v>0</v>
      </c>
      <c r="M565" s="164"/>
      <c r="N565" s="168">
        <f ca="1">กำแพงเพชร!N565+เชียงราย!N565+เชียงใหม่!N565+ตาก!N565+นครสวรรค์!N565+น่าน!N565+พะเยา!N565+พิจิตร!N565+พิษณุโลก!N565+เพชรบูรณ์!N565+แพร่!N565+แม่ฮ่องสอน!N565+ลำปาง!N565+ลำพูน!N565+สุโขทัย!N565+อุตรดิตถ์!N565+อุทัยธานี!N565</f>
        <v>0</v>
      </c>
      <c r="O565" s="168">
        <f t="shared" ca="1" si="90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ำแพงเพชร!L566+เชียงราย!L566+เชียงใหม่!L566+ตาก!L566+นครสวรรค์!L566+น่าน!L566+พะเยา!L566+พิจิตร!L566+พิษณุโลก!L566+เพชรบูรณ์!L566+แพร่!L566+แม่ฮ่องสอน!L566+ลำปาง!L566+ลำพูน!L566+สุโขทัย!L566+อุตรดิตถ์!L566+อุทัยธานี!L566</f>
        <v>2382160</v>
      </c>
      <c r="M566" s="165"/>
      <c r="N566" s="168">
        <f ca="1">กำแพงเพชร!N566+เชียงราย!N566+เชียงใหม่!N566+ตาก!N566+นครสวรรค์!N566+น่าน!N566+พะเยา!N566+พิจิตร!N566+พิษณุโลก!N566+เพชรบูรณ์!N566+แพร่!N566+แม่ฮ่องสอน!N566+ลำปาง!N566+ลำพูน!N566+สุโขทัย!N566+อุตรดิตถ์!N566+อุทัยธานี!N566</f>
        <v>1246946.7699999991</v>
      </c>
      <c r="O566" s="168">
        <f t="shared" ca="1" si="90"/>
        <v>52.345214847029546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กำแพงเพชร!L567+เชียงราย!L567+เชียงใหม่!L567+ตาก!L567+นครสวรรค์!L567+น่าน!L567+พะเยา!L567+พิจิตร!L567+พิษณุโลก!L567+เพชรบูรณ์!L567+แพร่!L567+แม่ฮ่องสอน!L567+ลำปาง!L567+ลำพูน!L567+สุโขทัย!L567+อุตรดิตถ์!L567+อุทัยธานี!L567</f>
        <v>0</v>
      </c>
      <c r="M567" s="168"/>
      <c r="N567" s="168">
        <f ca="1">กำแพงเพชร!N567+เชียงราย!N567+เชียงใหม่!N567+ตาก!N567+นครสวรรค์!N567+น่าน!N567+พะเยา!N567+พิจิตร!N567+พิษณุโลก!N567+เพชรบูรณ์!N567+แพร่!N567+แม่ฮ่องสอน!N567+ลำปาง!N567+ลำพูน!N567+สุโขทัย!N567+อุตรดิตถ์!N567+อุทัยธานี!N567</f>
        <v>0</v>
      </c>
      <c r="O567" s="168">
        <f t="shared" ca="1" si="90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กำแพงเพชร!L568+เชียงราย!L568+เชียงใหม่!L568+ตาก!L568+นครสวรรค์!L568+น่าน!L568+พะเยา!L568+พิจิตร!L568+พิษณุโลก!L568+เพชรบูรณ์!L568+แพร่!L568+แม่ฮ่องสอน!L568+ลำปาง!L568+ลำพูน!L568+สุโขทัย!L568+อุตรดิตถ์!L568+อุทัยธานี!L568</f>
        <v>2382160</v>
      </c>
      <c r="M568" s="168"/>
      <c r="N568" s="168">
        <f ca="1">กำแพงเพชร!N568+เชียงราย!N568+เชียงใหม่!N568+ตาก!N568+นครสวรรค์!N568+น่าน!N568+พะเยา!N568+พิจิตร!N568+พิษณุโลก!N568+เพชรบูรณ์!N568+แพร่!N568+แม่ฮ่องสอน!N568+ลำปาง!N568+ลำพูน!N568+สุโขทัย!N568+อุตรดิตถ์!N568+อุทัยธานี!N568</f>
        <v>1246946.7699999991</v>
      </c>
      <c r="O568" s="168">
        <f t="shared" ca="1" si="90"/>
        <v>52.345214847029546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กำแพงเพชร!N569+เชียงราย!N569+เชียงใหม่!N569+ตาก!N569+นครสวรรค์!N569+น่าน!N569+พะเยา!N569+พิจิตร!N569+พิษณุโลก!N569+เพชรบูรณ์!N569+แพร่!N569+แม่ฮ่องสอน!N569+ลำปาง!N569+ลำพูน!N569+สุโขทัย!N569+อุตรดิตถ์!N569+อุทัยธานี!N569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กำแพงเพชร!N570+เชียงราย!N570+เชียงใหม่!N570+ตาก!N570+นครสวรรค์!N570+น่าน!N570+พะเยา!N570+พิจิตร!N570+พิษณุโลก!N570+เพชรบูรณ์!N570+แพร่!N570+แม่ฮ่องสอน!N570+ลำปาง!N570+ลำพูน!N570+สุโขทัย!N570+อุตรดิตถ์!N570+อุทัยธานี!N570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กำแพงเพชร!N571+เชียงราย!N571+เชียงใหม่!N571+ตาก!N571+นครสวรรค์!N571+น่าน!N571+พะเยา!N571+พิจิตร!N571+พิษณุโลก!N571+เพชรบูรณ์!N571+แพร่!N571+แม่ฮ่องสอน!N571+ลำปาง!N571+ลำพูน!N571+สุโขทัย!N571+อุตรดิตถ์!N571+อุทัยธานี!N571</f>
        <v>927570.17999999993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กำแพงเพชร!N572+เชียงราย!N572+เชียงใหม่!N572+ตาก!N572+นครสวรรค์!N572+น่าน!N572+พะเยา!N572+พิจิตร!N572+พิษณุโลก!N572+เพชรบูรณ์!N572+แพร่!N572+แม่ฮ่องสอน!N572+ลำปาง!N572+ลำพูน!N572+สุโขทัย!N572+อุตรดิตถ์!N572+อุทัยธานี!N572</f>
        <v>319376.58999999997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กำแพงเพชร!I573+เชียงราย!I573+เชียงใหม่!I573+ตาก!I573+นครสวรรค์!I573+น่าน!I573+พะเยา!I573+พิจิตร!I573+พิษณุโลก!I573+เพชรบูรณ์!I573+แพร่!I573+แม่ฮ่องสอน!I573+ลำปาง!I573+ลำพูน!I573+สุโขทัย!I573+อุตรดิตถ์!I573+อุทัยธานี!I573</f>
        <v>32550</v>
      </c>
      <c r="J573" s="420">
        <f ca="1">กำแพงเพชร!J573+เชียงราย!J573+เชียงใหม่!J573+ตาก!J573+นครสวรรค์!J573+น่าน!J573+พะเยา!J573+พิจิตร!J573+พิษณุโลก!J573+เพชรบูรณ์!J573+แพร่!J573+แม่ฮ่องสอน!J573+ลำปาง!J573+ลำพูน!J573+สุโขทัย!J573+อุตรดิตถ์!J573+อุทัยธานี!J573</f>
        <v>54729</v>
      </c>
      <c r="K573" s="201">
        <f ca="1">IF(I573&gt;0,J573*100/I573,0)</f>
        <v>168.13824884792626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กำแพงเพชร!I575+เชียงราย!I575+เชียงใหม่!I575+ตาก!I575+นครสวรรค์!I575+น่าน!I575+พะเยา!I575+พิจิตร!I575+พิษณุโลก!I575+เพชรบูรณ์!I575+แพร่!I575+แม่ฮ่องสอน!I575+ลำปาง!I575+ลำพูน!I575+สุโขทัย!I575+อุตรดิตถ์!I575+อุทัยธานี!I575</f>
        <v>0</v>
      </c>
      <c r="J575" s="197">
        <f ca="1">กำแพงเพชร!J575+เชียงราย!J575+เชียงใหม่!J575+ตาก!J575+นครสวรรค์!J575+น่าน!J575+พะเยา!J575+พิจิตร!J575+พิษณุโลก!J575+เพชรบูรณ์!J575+แพร่!J575+แม่ฮ่องสอน!J575+ลำปาง!J575+ลำพูน!J575+สุโขทัย!J575+อุตรดิตถ์!J575+อุทัยธานี!J575</f>
        <v>87</v>
      </c>
      <c r="K575" s="163">
        <f t="shared" ref="K575:K579" ca="1" si="91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กำแพงเพชร!I576+เชียงราย!I576+เชียงใหม่!I576+ตาก!I576+นครสวรรค์!I576+น่าน!I576+พะเยา!I576+พิจิตร!I576+พิษณุโลก!I576+เพชรบูรณ์!I576+แพร่!I576+แม่ฮ่องสอน!I576+ลำปาง!I576+ลำพูน!I576+สุโขทัย!I576+อุตรดิตถ์!I576+อุทัยธานี!I576</f>
        <v>0</v>
      </c>
      <c r="J576" s="197">
        <f ca="1">กำแพงเพชร!J576+เชียงราย!J576+เชียงใหม่!J576+ตาก!J576+นครสวรรค์!J576+น่าน!J576+พะเยา!J576+พิจิตร!J576+พิษณุโลก!J576+เพชรบูรณ์!J576+แพร่!J576+แม่ฮ่องสอน!J576+ลำปาง!J576+ลำพูน!J576+สุโขทัย!J576+อุตรดิตถ์!J576+อุทัยธานี!J576</f>
        <v>5250</v>
      </c>
      <c r="K576" s="163">
        <f t="shared" ca="1" si="91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กำแพงเพชร!I577+เชียงราย!I577+เชียงใหม่!I577+ตาก!I577+นครสวรรค์!I577+น่าน!I577+พะเยา!I577+พิจิตร!I577+พิษณุโลก!I577+เพชรบูรณ์!I577+แพร่!I577+แม่ฮ่องสอน!I577+ลำปาง!I577+ลำพูน!I577+สุโขทัย!I577+อุตรดิตถ์!I577+อุทัยธานี!I577</f>
        <v>0</v>
      </c>
      <c r="J577" s="188">
        <f ca="1">กำแพงเพชร!J577+เชียงราย!J577+เชียงใหม่!J577+ตาก!J577+นครสวรรค์!J577+น่าน!J577+พะเยา!J577+พิจิตร!J577+พิษณุโลก!J577+เพชรบูรณ์!J577+แพร่!J577+แม่ฮ่องสอน!J577+ลำปาง!J577+ลำพูน!J577+สุโขทัย!J577+อุตรดิตถ์!J577+อุทัยธานี!J577</f>
        <v>48588</v>
      </c>
      <c r="K577" s="163">
        <f t="shared" ca="1" si="91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กำแพงเพชร!I578+เชียงราย!I578+เชียงใหม่!I578+ตาก!I578+นครสวรรค์!I578+น่าน!I578+พะเยา!I578+พิจิตร!I578+พิษณุโลก!I578+เพชรบูรณ์!I578+แพร่!I578+แม่ฮ่องสอน!I578+ลำปาง!I578+ลำพูน!I578+สุโขทัย!I578+อุตรดิตถ์!I578+อุทัยธานี!I578</f>
        <v>0</v>
      </c>
      <c r="J578" s="197">
        <f ca="1">กำแพงเพชร!J578+เชียงราย!J578+เชียงใหม่!J578+ตาก!J578+นครสวรรค์!J578+น่าน!J578+พะเยา!J578+พิจิตร!J578+พิษณุโลก!J578+เพชรบูรณ์!J578+แพร่!J578+แม่ฮ่องสอน!J578+ลำปาง!J578+ลำพูน!J578+สุโขทัย!J578+อุตรดิตถ์!J578+อุทัยธานี!J578</f>
        <v>88</v>
      </c>
      <c r="K578" s="163">
        <f t="shared" ca="1" si="91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กำแพงเพชร!I579+เชียงราย!I579+เชียงใหม่!I579+ตาก!I579+นครสวรรค์!I579+น่าน!I579+พะเยา!I579+พิจิตร!I579+พิษณุโลก!I579+เพชรบูรณ์!I579+แพร่!I579+แม่ฮ่องสอน!I579+ลำปาง!I579+ลำพูน!I579+สุโขทัย!I579+อุตรดิตถ์!I579+อุทัยธานี!I579</f>
        <v>0</v>
      </c>
      <c r="J579" s="197">
        <f ca="1">กำแพงเพชร!J579+เชียงราย!J579+เชียงใหม่!J579+ตาก!J579+นครสวรรค์!J579+น่าน!J579+พะเยา!J579+พิจิตร!J579+พิษณุโลก!J579+เพชรบูรณ์!J579+แพร่!J579+แม่ฮ่องสอน!J579+ลำปาง!J579+ลำพูน!J579+สุโขทัย!J579+อุตรดิตถ์!J579+อุทัยธานี!J579</f>
        <v>803</v>
      </c>
      <c r="K579" s="163">
        <f t="shared" ca="1" si="91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กำแพงเพชร!I580+เชียงราย!I580+เชียงใหม่!I580+ตาก!I580+นครสวรรค์!I580+น่าน!I580+พะเยา!I580+พิจิตร!I580+พิษณุโลก!I580+เพชรบูรณ์!I580+แพร่!I580+แม่ฮ่องสอน!I580+ลำปาง!I580+ลำพูน!I580+สุโขทัย!I580+อุตรดิตถ์!I580+อุทัยธานี!I580</f>
        <v>1696</v>
      </c>
      <c r="J580" s="370">
        <f ca="1">กำแพงเพชร!J580+เชียงราย!J580+เชียงใหม่!J580+ตาก!J580+นครสวรรค์!J580+น่าน!J580+พะเยา!J580+พิจิตร!J580+พิษณุโลก!J580+เพชรบูรณ์!J580+แพร่!J580+แม่ฮ่องสอน!J580+ลำปาง!J580+ลำพูน!J580+สุโขทัย!J580+อุตรดิตถ์!J580+อุทัยธานี!J580</f>
        <v>103</v>
      </c>
      <c r="K580" s="371">
        <f ca="1">IF(I580&gt;0,J580*100/I580,0)</f>
        <v>6.0731132075471699</v>
      </c>
      <c r="L580" s="372">
        <f ca="1">กำแพงเพชร!L580+เชียงราย!L580+เชียงใหม่!L580+ตาก!L580+นครสวรรค์!L580+น่าน!L580+พะเยา!L580+พิจิตร!L580+พิษณุโลก!L580+เพชรบูรณ์!L580+แพร่!L580+แม่ฮ่องสอน!L580+ลำปาง!L580+ลำพูน!L580+สุโขทัย!L580+อุตรดิตถ์!L580+อุทัยธานี!L580</f>
        <v>3209796</v>
      </c>
      <c r="M580" s="372"/>
      <c r="N580" s="372">
        <f ca="1">กำแพงเพชร!N580+เชียงราย!N580+เชียงใหม่!N580+ตาก!N580+นครสวรรค์!N580+น่าน!N580+พะเยา!N580+พิจิตร!N580+พิษณุโลก!N580+เพชรบูรณ์!N580+แพร่!N580+แม่ฮ่องสอน!N580+ลำปาง!N580+ลำพูน!N580+สุโขทัย!N580+อุตรดิตถ์!N580+อุทัยธานี!N580</f>
        <v>808238.89</v>
      </c>
      <c r="O580" s="372">
        <f t="shared" ref="O580:O584" ca="1" si="92">+IF(L580&gt;0,N580*100/L580,0)</f>
        <v>25.180381868505037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ำแพงเพชร!L581+เชียงราย!L581+เชียงใหม่!L581+ตาก!L581+นครสวรรค์!L581+น่าน!L581+พะเยา!L581+พิจิตร!L581+พิษณุโลก!L581+เพชรบูรณ์!L581+แพร่!L581+แม่ฮ่องสอน!L581+ลำปาง!L581+ลำพูน!L581+สุโขทัย!L581+อุตรดิตถ์!L581+อุทัยธานี!L581</f>
        <v>0</v>
      </c>
      <c r="M581" s="164"/>
      <c r="N581" s="168">
        <f ca="1">กำแพงเพชร!N581+เชียงราย!N581+เชียงใหม่!N581+ตาก!N581+นครสวรรค์!N581+น่าน!N581+พะเยา!N581+พิจิตร!N581+พิษณุโลก!N581+เพชรบูรณ์!N581+แพร่!N581+แม่ฮ่องสอน!N581+ลำปาง!N581+ลำพูน!N581+สุโขทัย!N581+อุตรดิตถ์!N581+อุทัยธานี!N581</f>
        <v>0</v>
      </c>
      <c r="O581" s="168">
        <f t="shared" ca="1" si="92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ำแพงเพชร!L582+เชียงราย!L582+เชียงใหม่!L582+ตาก!L582+นครสวรรค์!L582+น่าน!L582+พะเยา!L582+พิจิตร!L582+พิษณุโลก!L582+เพชรบูรณ์!L582+แพร่!L582+แม่ฮ่องสอน!L582+ลำปาง!L582+ลำพูน!L582+สุโขทัย!L582+อุตรดิตถ์!L582+อุทัยธานี!L582</f>
        <v>3209796</v>
      </c>
      <c r="M582" s="165"/>
      <c r="N582" s="168">
        <f ca="1">กำแพงเพชร!N582+เชียงราย!N582+เชียงใหม่!N582+ตาก!N582+นครสวรรค์!N582+น่าน!N582+พะเยา!N582+พิจิตร!N582+พิษณุโลก!N582+เพชรบูรณ์!N582+แพร่!N582+แม่ฮ่องสอน!N582+ลำปาง!N582+ลำพูน!N582+สุโขทัย!N582+อุตรดิตถ์!N582+อุทัยธานี!N582</f>
        <v>808238.89</v>
      </c>
      <c r="O582" s="168">
        <f t="shared" ca="1" si="92"/>
        <v>25.180381868505037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กำแพงเพชร!L583+เชียงราย!L583+เชียงใหม่!L583+ตาก!L583+นครสวรรค์!L583+น่าน!L583+พะเยา!L583+พิจิตร!L583+พิษณุโลก!L583+เพชรบูรณ์!L583+แพร่!L583+แม่ฮ่องสอน!L583+ลำปาง!L583+ลำพูน!L583+สุโขทัย!L583+อุตรดิตถ์!L583+อุทัยธานี!L583</f>
        <v>0</v>
      </c>
      <c r="M583" s="168"/>
      <c r="N583" s="168">
        <f ca="1">กำแพงเพชร!N583+เชียงราย!N583+เชียงใหม่!N583+ตาก!N583+นครสวรรค์!N583+น่าน!N583+พะเยา!N583+พิจิตร!N583+พิษณุโลก!N583+เพชรบูรณ์!N583+แพร่!N583+แม่ฮ่องสอน!N583+ลำปาง!N583+ลำพูน!N583+สุโขทัย!N583+อุตรดิตถ์!N583+อุทัยธานี!N583</f>
        <v>0</v>
      </c>
      <c r="O583" s="168">
        <f t="shared" ca="1" si="92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กำแพงเพชร!L584+เชียงราย!L584+เชียงใหม่!L584+ตาก!L584+นครสวรรค์!L584+น่าน!L584+พะเยา!L584+พิจิตร!L584+พิษณุโลก!L584+เพชรบูรณ์!L584+แพร่!L584+แม่ฮ่องสอน!L584+ลำปาง!L584+ลำพูน!L584+สุโขทัย!L584+อุตรดิตถ์!L584+อุทัยธานี!L584</f>
        <v>3209796</v>
      </c>
      <c r="M584" s="168"/>
      <c r="N584" s="168">
        <f ca="1">กำแพงเพชร!N584+เชียงราย!N584+เชียงใหม่!N584+ตาก!N584+นครสวรรค์!N584+น่าน!N584+พะเยา!N584+พิจิตร!N584+พิษณุโลก!N584+เพชรบูรณ์!N584+แพร่!N584+แม่ฮ่องสอน!N584+ลำปาง!N584+ลำพูน!N584+สุโขทัย!N584+อุตรดิตถ์!N584+อุทัยธานี!N584</f>
        <v>808238.89</v>
      </c>
      <c r="O584" s="168">
        <f t="shared" ca="1" si="92"/>
        <v>25.180381868505037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กำแพงเพชร!N585+เชียงราย!N585+เชียงใหม่!N585+ตาก!N585+นครสวรรค์!N585+น่าน!N585+พะเยา!N585+พิจิตร!N585+พิษณุโลก!N585+เพชรบูรณ์!N585+แพร่!N585+แม่ฮ่องสอน!N585+ลำปาง!N585+ลำพูน!N585+สุโขทัย!N585+อุตรดิตถ์!N585+อุทัยธานี!N585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กำแพงเพชร!N586+เชียงราย!N586+เชียงใหม่!N586+ตาก!N586+นครสวรรค์!N586+น่าน!N586+พะเยา!N586+พิจิตร!N586+พิษณุโลก!N586+เพชรบูรณ์!N586+แพร่!N586+แม่ฮ่องสอน!N586+ลำปาง!N586+ลำพูน!N586+สุโขทัย!N586+อุตรดิตถ์!N586+อุทัยธานี!N586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กำแพงเพชร!N587+เชียงราย!N587+เชียงใหม่!N587+ตาก!N587+นครสวรรค์!N587+น่าน!N587+พะเยา!N587+พิจิตร!N587+พิษณุโลก!N587+เพชรบูรณ์!N587+แพร่!N587+แม่ฮ่องสอน!N587+ลำปาง!N587+ลำพูน!N587+สุโขทัย!N587+อุตรดิตถ์!N587+อุทัยธานี!N587</f>
        <v>335077.58999999997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กำแพงเพชร!N588+เชียงราย!N588+เชียงใหม่!N588+ตาก!N588+นครสวรรค์!N588+น่าน!N588+พะเยา!N588+พิจิตร!N588+พิษณุโลก!N588+เพชรบูรณ์!N588+แพร่!N588+แม่ฮ่องสอน!N588+ลำปาง!N588+ลำพูน!N588+สุโขทัย!N588+อุตรดิตถ์!N588+อุทัยธานี!N588</f>
        <v>473161.3</v>
      </c>
      <c r="O588" s="168"/>
      <c r="P588" s="168"/>
    </row>
    <row r="589" spans="1:16" ht="21.75" customHeight="1" x14ac:dyDescent="0.3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กำแพงเพชร!I589+เชียงราย!I589+เชียงใหม่!I589+ตาก!I589+นครสวรรค์!I589+น่าน!I589+พะเยา!I589+พิจิตร!I589+พิษณุโลก!I589+เพชรบูรณ์!I589+แพร่!I589+แม่ฮ่องสอน!I589+ลำปาง!I589+ลำพูน!I589+สุโขทัย!I589+อุตรดิตถ์!I589+อุทัยธานี!I589</f>
        <v>1696</v>
      </c>
      <c r="J589" s="187">
        <f ca="1">กำแพงเพชร!J589+เชียงราย!J589+เชียงใหม่!J589+ตาก!J589+นครสวรรค์!J589+น่าน!J589+พะเยา!J589+พิจิตร!J589+พิษณุโลก!J589+เพชรบูรณ์!J589+แพร่!J589+แม่ฮ่องสอน!J589+ลำปาง!J589+ลำพูน!J589+สุโขทัย!J589+อุตรดิตถ์!J589+อุทัยธานี!J589</f>
        <v>602</v>
      </c>
      <c r="K589" s="163">
        <f t="shared" ref="K589:K596" ca="1" si="93">IF(I589&gt;0,J589*100/I589,0)</f>
        <v>35.495283018867923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กำแพงเพชร!I590+เชียงราย!I590+เชียงใหม่!I590+ตาก!I590+นครสวรรค์!I590+น่าน!I590+พะเยา!I590+พิจิตร!I590+พิษณุโลก!I590+เพชรบูรณ์!I590+แพร่!I590+แม่ฮ่องสอน!I590+ลำปาง!I590+ลำพูน!I590+สุโขทัย!I590+อุตรดิตถ์!I590+อุทัยธานี!I590</f>
        <v>0</v>
      </c>
      <c r="J590" s="187">
        <f ca="1">กำแพงเพชร!J590+เชียงราย!J590+เชียงใหม่!J590+ตาก!J590+นครสวรรค์!J590+น่าน!J590+พะเยา!J590+พิจิตร!J590+พิษณุโลก!J590+เพชรบูรณ์!J590+แพร่!J590+แม่ฮ่องสอน!J590+ลำปาง!J590+ลำพูน!J590+สุโขทัย!J590+อุตรดิตถ์!J590+อุทัยธานี!J590</f>
        <v>448.69</v>
      </c>
      <c r="K590" s="479">
        <f t="shared" ca="1" si="93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กำแพงเพชร!I591+เชียงราย!I591+เชียงใหม่!I591+ตาก!I591+นครสวรรค์!I591+น่าน!I591+พะเยา!I591+พิจิตร!I591+พิษณุโลก!I591+เพชรบูรณ์!I591+แพร่!I591+แม่ฮ่องสอน!I591+ลำปาง!I591+ลำพูน!I591+สุโขทัย!I591+อุตรดิตถ์!I591+อุทัยธานี!I591</f>
        <v>1696</v>
      </c>
      <c r="J591" s="187">
        <f ca="1">กำแพงเพชร!J591+เชียงราย!J591+เชียงใหม่!J591+ตาก!J591+นครสวรรค์!J591+น่าน!J591+พะเยา!J591+พิจิตร!J591+พิษณุโลก!J591+เพชรบูรณ์!J591+แพร่!J591+แม่ฮ่องสอน!J591+ลำปาง!J591+ลำพูน!J591+สุโขทัย!J591+อุตรดิตถ์!J591+อุทัยธานี!J591</f>
        <v>350</v>
      </c>
      <c r="K591" s="163">
        <f t="shared" ca="1" si="93"/>
        <v>20.636792452830189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กำแพงเพชร!I592+เชียงราย!I592+เชียงใหม่!I592+ตาก!I592+นครสวรรค์!I592+น่าน!I592+พะเยา!I592+พิจิตร!I592+พิษณุโลก!I592+เพชรบูรณ์!I592+แพร่!I592+แม่ฮ่องสอน!I592+ลำปาง!I592+ลำพูน!I592+สุโขทัย!I592+อุตรดิตถ์!I592+อุทัยธานี!I592</f>
        <v>0</v>
      </c>
      <c r="J592" s="187">
        <f ca="1">กำแพงเพชร!J592+เชียงราย!J592+เชียงใหม่!J592+ตาก!J592+นครสวรรค์!J592+น่าน!J592+พะเยา!J592+พิจิตร!J592+พิษณุโลก!J592+เพชรบูรณ์!J592+แพร่!J592+แม่ฮ่องสอน!J592+ลำปาง!J592+ลำพูน!J592+สุโขทัย!J592+อุตรดิตถ์!J592+อุทัยธานี!J592</f>
        <v>224.29</v>
      </c>
      <c r="K592" s="342">
        <f t="shared" ca="1" si="93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กำแพงเพชร!I593+เชียงราย!I593+เชียงใหม่!I593+ตาก!I593+นครสวรรค์!I593+น่าน!I593+พะเยา!I593+พิจิตร!I593+พิษณุโลก!I593+เพชรบูรณ์!I593+แพร่!I593+แม่ฮ่องสอน!I593+ลำปาง!I593+ลำพูน!I593+สุโขทัย!I593+อุตรดิตถ์!I593+อุทัยธานี!I593</f>
        <v>1696</v>
      </c>
      <c r="J593" s="187">
        <f ca="1">กำแพงเพชร!J593+เชียงราย!J593+เชียงใหม่!J593+ตาก!J593+นครสวรรค์!J593+น่าน!J593+พะเยา!J593+พิจิตร!J593+พิษณุโลก!J593+เพชรบูรณ์!J593+แพร่!J593+แม่ฮ่องสอน!J593+ลำปาง!J593+ลำพูน!J593+สุโขทัย!J593+อุตรดิตถ์!J593+อุทัยธานี!J593</f>
        <v>7</v>
      </c>
      <c r="K593" s="163">
        <f t="shared" ca="1" si="93"/>
        <v>0.41273584905660377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กำแพงเพชร!I594+เชียงราย!I594+เชียงใหม่!I594+ตาก!I594+นครสวรรค์!I594+น่าน!I594+พะเยา!I594+พิจิตร!I594+พิษณุโลก!I594+เพชรบูรณ์!I594+แพร่!I594+แม่ฮ่องสอน!I594+ลำปาง!I594+ลำพูน!I594+สุโขทัย!I594+อุตรดิตถ์!I594+อุทัยธานี!I594</f>
        <v>0</v>
      </c>
      <c r="J594" s="187">
        <f ca="1">กำแพงเพชร!J594+เชียงราย!J594+เชียงใหม่!J594+ตาก!J594+นครสวรรค์!J594+น่าน!J594+พะเยา!J594+พิจิตร!J594+พิษณุโลก!J594+เพชรบูรณ์!J594+แพร่!J594+แม่ฮ่องสอน!J594+ลำปาง!J594+ลำพูน!J594+สุโขทัย!J594+อุตรดิตถ์!J594+อุทัยธานี!J594</f>
        <v>4.66</v>
      </c>
      <c r="K594" s="342">
        <f t="shared" ca="1" si="93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กำแพงเพชร!I595+เชียงราย!I595+เชียงใหม่!I595+ตาก!I595+นครสวรรค์!I595+น่าน!I595+พะเยา!I595+พิจิตร!I595+พิษณุโลก!I595+เพชรบูรณ์!I595+แพร่!I595+แม่ฮ่องสอน!I595+ลำปาง!I595+ลำพูน!I595+สุโขทัย!I595+อุตรดิตถ์!I595+อุทัยธานี!I595</f>
        <v>1696</v>
      </c>
      <c r="J595" s="187">
        <f ca="1">กำแพงเพชร!J595+เชียงราย!J595+เชียงใหม่!J595+ตาก!J595+นครสวรรค์!J595+น่าน!J595+พะเยา!J595+พิจิตร!J595+พิษณุโลก!J595+เพชรบูรณ์!J595+แพร่!J595+แม่ฮ่องสอน!J595+ลำปาง!J595+ลำพูน!J595+สุโขทัย!J595+อุตรดิตถ์!J595+อุทัยธานี!J595</f>
        <v>103</v>
      </c>
      <c r="K595" s="163">
        <f t="shared" ca="1" si="93"/>
        <v>6.0731132075471699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กำแพงเพชร!I596+เชียงราย!I596+เชียงใหม่!I596+ตาก!I596+นครสวรรค์!I596+น่าน!I596+พะเยา!I596+พิจิตร!I596+พิษณุโลก!I596+เพชรบูรณ์!I596+แพร่!I596+แม่ฮ่องสอน!I596+ลำปาง!I596+ลำพูน!I596+สุโขทัย!I596+อุตรดิตถ์!I596+อุทัยธานี!I596</f>
        <v>0</v>
      </c>
      <c r="J596" s="241">
        <f ca="1">กำแพงเพชร!J596+เชียงราย!J596+เชียงใหม่!J596+ตาก!J596+นครสวรรค์!J596+น่าน!J596+พะเยา!J596+พิจิตร!J596+พิษณุโลก!J596+เพชรบูรณ์!J596+แพร่!J596+แม่ฮ่องสอน!J596+ลำปาง!J596+ลำพูน!J596+สุโขทัย!J596+อุตรดิตถ์!J596+อุทัยธานี!J596</f>
        <v>65.389999999999986</v>
      </c>
      <c r="K596" s="486">
        <f t="shared" ca="1" si="93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กำแพงเพชร!I597+เชียงราย!I597+เชียงใหม่!I597+ตาก!I597+นครสวรรค์!I597+น่าน!I597+พะเยา!I597+พิจิตร!I597+พิษณุโลก!I597+เพชรบูรณ์!I597+แพร่!I597+แม่ฮ่องสอน!I597+ลำปาง!I597+ลำพูน!I597+สุโขทัย!I597+อุตรดิตถ์!I597+อุทัยธานี!I597</f>
        <v>1470</v>
      </c>
      <c r="J597" s="487">
        <f ca="1">กำแพงเพชร!J597+เชียงราย!J597+เชียงใหม่!J597+ตาก!J597+นครสวรรค์!J597+น่าน!J597+พะเยา!J597+พิจิตร!J597+พิษณุโลก!J597+เพชรบูรณ์!J597+แพร่!J597+แม่ฮ่องสอน!J597+ลำปาง!J597+ลำพูน!J597+สุโขทัย!J597+อุตรดิตถ์!J597+อุทัยธานี!J597</f>
        <v>0</v>
      </c>
      <c r="K597" s="410">
        <f ca="1">IF(I597&gt;0,J597*100/I597,0)</f>
        <v>0</v>
      </c>
      <c r="L597" s="411">
        <f ca="1">กำแพงเพชร!L597+เชียงราย!L597+เชียงใหม่!L597+ตาก!L597+นครสวรรค์!L597+น่าน!L597+พะเยา!L597+พิจิตร!L597+พิษณุโลก!L597+เพชรบูรณ์!L597+แพร่!L597+แม่ฮ่องสอน!L597+ลำปาง!L597+ลำพูน!L597+สุโขทัย!L597+อุตรดิตถ์!L597+อุทัยธานี!L597</f>
        <v>135050</v>
      </c>
      <c r="M597" s="411"/>
      <c r="N597" s="411">
        <f ca="1">กำแพงเพชร!N597+เชียงราย!N597+เชียงใหม่!N597+ตาก!N597+นครสวรรค์!N597+น่าน!N597+พะเยา!N597+พิจิตร!N597+พิษณุโลก!N597+เพชรบูรณ์!N597+แพร่!N597+แม่ฮ่องสอน!N597+ลำปาง!N597+ลำพูน!N597+สุโขทัย!N597+อุตรดิตถ์!N597+อุทัยธานี!N597</f>
        <v>33216</v>
      </c>
      <c r="O597" s="411">
        <f t="shared" ref="O597:O601" ca="1" si="94">+IF(L597&gt;0,N597*100/L597,0)</f>
        <v>24.595335061088484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ำแพงเพชร!L598+เชียงราย!L598+เชียงใหม่!L598+ตาก!L598+นครสวรรค์!L598+น่าน!L598+พะเยา!L598+พิจิตร!L598+พิษณุโลก!L598+เพชรบูรณ์!L598+แพร่!L598+แม่ฮ่องสอน!L598+ลำปาง!L598+ลำพูน!L598+สุโขทัย!L598+อุตรดิตถ์!L598+อุทัยธานี!L598</f>
        <v>0</v>
      </c>
      <c r="M598" s="164"/>
      <c r="N598" s="168">
        <f ca="1">กำแพงเพชร!N598+เชียงราย!N598+เชียงใหม่!N598+ตาก!N598+นครสวรรค์!N598+น่าน!N598+พะเยา!N598+พิจิตร!N598+พิษณุโลก!N598+เพชรบูรณ์!N598+แพร่!N598+แม่ฮ่องสอน!N598+ลำปาง!N598+ลำพูน!N598+สุโขทัย!N598+อุตรดิตถ์!N598+อุทัยธานี!N598</f>
        <v>0</v>
      </c>
      <c r="O598" s="168">
        <f t="shared" ca="1" si="94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ำแพงเพชร!L599+เชียงราย!L599+เชียงใหม่!L599+ตาก!L599+นครสวรรค์!L599+น่าน!L599+พะเยา!L599+พิจิตร!L599+พิษณุโลก!L599+เพชรบูรณ์!L599+แพร่!L599+แม่ฮ่องสอน!L599+ลำปาง!L599+ลำพูน!L599+สุโขทัย!L599+อุตรดิตถ์!L599+อุทัยธานี!L599</f>
        <v>135050</v>
      </c>
      <c r="M599" s="165"/>
      <c r="N599" s="168">
        <f ca="1">กำแพงเพชร!N599+เชียงราย!N599+เชียงใหม่!N599+ตาก!N599+นครสวรรค์!N599+น่าน!N599+พะเยา!N599+พิจิตร!N599+พิษณุโลก!N599+เพชรบูรณ์!N599+แพร่!N599+แม่ฮ่องสอน!N599+ลำปาง!N599+ลำพูน!N599+สุโขทัย!N599+อุตรดิตถ์!N599+อุทัยธานี!N599</f>
        <v>33216</v>
      </c>
      <c r="O599" s="168">
        <f t="shared" ca="1" si="94"/>
        <v>24.595335061088484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กำแพงเพชร!L600+เชียงราย!L600+เชียงใหม่!L600+ตาก!L600+นครสวรรค์!L600+น่าน!L600+พะเยา!L600+พิจิตร!L600+พิษณุโลก!L600+เพชรบูรณ์!L600+แพร่!L600+แม่ฮ่องสอน!L600+ลำปาง!L600+ลำพูน!L600+สุโขทัย!L600+อุตรดิตถ์!L600+อุทัยธานี!L600</f>
        <v>0</v>
      </c>
      <c r="M600" s="168"/>
      <c r="N600" s="168">
        <f ca="1">กำแพงเพชร!N600+เชียงราย!N600+เชียงใหม่!N600+ตาก!N600+นครสวรรค์!N600+น่าน!N600+พะเยา!N600+พิจิตร!N600+พิษณุโลก!N600+เพชรบูรณ์!N600+แพร่!N600+แม่ฮ่องสอน!N600+ลำปาง!N600+ลำพูน!N600+สุโขทัย!N600+อุตรดิตถ์!N600+อุทัยธานี!N600</f>
        <v>0</v>
      </c>
      <c r="O600" s="168">
        <f t="shared" ca="1" si="94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กำแพงเพชร!L601+เชียงราย!L601+เชียงใหม่!L601+ตาก!L601+นครสวรรค์!L601+น่าน!L601+พะเยา!L601+พิจิตร!L601+พิษณุโลก!L601+เพชรบูรณ์!L601+แพร่!L601+แม่ฮ่องสอน!L601+ลำปาง!L601+ลำพูน!L601+สุโขทัย!L601+อุตรดิตถ์!L601+อุทัยธานี!L601</f>
        <v>135050</v>
      </c>
      <c r="M601" s="168"/>
      <c r="N601" s="168">
        <f ca="1">กำแพงเพชร!N601+เชียงราย!N601+เชียงใหม่!N601+ตาก!N601+นครสวรรค์!N601+น่าน!N601+พะเยา!N601+พิจิตร!N601+พิษณุโลก!N601+เพชรบูรณ์!N601+แพร่!N601+แม่ฮ่องสอน!N601+ลำปาง!N601+ลำพูน!N601+สุโขทัย!N601+อุตรดิตถ์!N601+อุทัยธานี!N601</f>
        <v>33216</v>
      </c>
      <c r="O601" s="168">
        <f t="shared" ca="1" si="94"/>
        <v>24.595335061088484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กำแพงเพชร!N602+เชียงราย!N602+เชียงใหม่!N602+ตาก!N602+นครสวรรค์!N602+น่าน!N602+พะเยา!N602+พิจิตร!N602+พิษณุโลก!N602+เพชรบูรณ์!N602+แพร่!N602+แม่ฮ่องสอน!N602+ลำปาง!N602+ลำพูน!N602+สุโขทัย!N602+อุตรดิตถ์!N602+อุทัยธานี!N602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กำแพงเพชร!N603+เชียงราย!N603+เชียงใหม่!N603+ตาก!N603+นครสวรรค์!N603+น่าน!N603+พะเยา!N603+พิจิตร!N603+พิษณุโลก!N603+เพชรบูรณ์!N603+แพร่!N603+แม่ฮ่องสอน!N603+ลำปาง!N603+ลำพูน!N603+สุโขทัย!N603+อุตรดิตถ์!N603+อุทัยธานี!N603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กำแพงเพชร!N604+เชียงราย!N604+เชียงใหม่!N604+ตาก!N604+นครสวรรค์!N604+น่าน!N604+พะเยา!N604+พิจิตร!N604+พิษณุโลก!N604+เพชรบูรณ์!N604+แพร่!N604+แม่ฮ่องสอน!N604+ลำปาง!N604+ลำพูน!N604+สุโขทัย!N604+อุตรดิตถ์!N604+อุทัยธานี!N604</f>
        <v>1200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กำแพงเพชร!N605+เชียงราย!N605+เชียงใหม่!N605+ตาก!N605+นครสวรรค์!N605+น่าน!N605+พะเยา!N605+พิจิตร!N605+พิษณุโลก!N605+เพชรบูรณ์!N605+แพร่!N605+แม่ฮ่องสอน!N605+ลำปาง!N605+ลำพูน!N605+สุโขทัย!N605+อุตรดิตถ์!N605+อุทัยธานี!N605</f>
        <v>32016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กำแพงเพชร!J607+เชียงราย!J607+เชียงใหม่!J607+ตาก!J607+นครสวรรค์!J607+น่าน!J607+พะเยา!J607+พิจิตร!J607+พิษณุโลก!J607+เพชรบูรณ์!J607+แพร่!J607+แม่ฮ่องสอน!J607+ลำปาง!J607+ลำพูน!J607+สุโขทัย!J607+อุตรดิตถ์!J607+อุทัยธานี!J607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กำแพงเพชร!J608+เชียงราย!J608+เชียงใหม่!J608+ตาก!J608+นครสวรรค์!J608+น่าน!J608+พะเยา!J608+พิจิตร!J608+พิษณุโลก!J608+เพชรบูรณ์!J608+แพร่!J608+แม่ฮ่องสอน!J608+ลำปาง!J608+ลำพูน!J608+สุโขทัย!J608+อุตรดิตถ์!J608+อุทัยธานี!J608</f>
        <v>17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กำแพงเพชร!J609+เชียงราย!J609+เชียงใหม่!J609+ตาก!J609+นครสวรรค์!J609+น่าน!J609+พะเยา!J609+พิจิตร!J609+พิษณุโลก!J609+เพชรบูรณ์!J609+แพร่!J609+แม่ฮ่องสอน!J609+ลำปาง!J609+ลำพูน!J609+สุโขทัย!J609+อุตรดิตถ์!J609+อุทัยธานี!J609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กำแพงเพชร!J610+เชียงราย!J610+เชียงใหม่!J610+ตาก!J610+นครสวรรค์!J610+น่าน!J610+พะเยา!J610+พิจิตร!J610+พิษณุโลก!J610+เพชรบูรณ์!J610+แพร่!J610+แม่ฮ่องสอน!J610+ลำปาง!J610+ลำพูน!J610+สุโขทัย!J610+อุตรดิตถ์!J610+อุทัยธานี!J610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กำแพงเพชร!I611+เชียงราย!I611+เชียงใหม่!I611+ตาก!I611+นครสวรรค์!I611+น่าน!I611+พะเยา!I611+พิจิตร!I611+พิษณุโลก!I611+เพชรบูรณ์!I611+แพร่!I611+แม่ฮ่องสอน!I611+ลำปาง!I611+ลำพูน!I611+สุโขทัย!I611+อุตรดิตถ์!I611+อุทัยธานี!I611</f>
        <v>1470</v>
      </c>
      <c r="J611" s="162">
        <f ca="1">กำแพงเพชร!J611+เชียงราย!J611+เชียงใหม่!J611+ตาก!J611+นครสวรรค์!J611+น่าน!J611+พะเยา!J611+พิจิตร!J611+พิษณุโลก!J611+เพชรบูรณ์!J611+แพร่!J611+แม่ฮ่องสอน!J611+ลำปาง!J611+ลำพูน!J611+สุโขทัย!J611+อุตรดิตถ์!J611+อุทัยธานี!J611</f>
        <v>0</v>
      </c>
      <c r="K611" s="163">
        <f t="shared" ref="K611:K619" ca="1" si="95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กำแพงเพชร!I612+เชียงราย!I612+เชียงใหม่!I612+ตาก!I612+นครสวรรค์!I612+น่าน!I612+พะเยา!I612+พิจิตร!I612+พิษณุโลก!I612+เพชรบูรณ์!I612+แพร่!I612+แม่ฮ่องสอน!I612+ลำปาง!I612+ลำพูน!I612+สุโขทัย!I612+อุตรดิตถ์!I612+อุทัยธานี!I612</f>
        <v>0</v>
      </c>
      <c r="J612" s="197">
        <f ca="1">กำแพงเพชร!J612+เชียงราย!J612+เชียงใหม่!J612+ตาก!J612+นครสวรรค์!J612+น่าน!J612+พะเยา!J612+พิจิตร!J612+พิษณุโลก!J612+เพชรบูรณ์!J612+แพร่!J612+แม่ฮ่องสอน!J612+ลำปาง!J612+ลำพูน!J612+สุโขทัย!J612+อุตรดิตถ์!J612+อุทัยธานี!J612</f>
        <v>1671.75</v>
      </c>
      <c r="K612" s="163">
        <f t="shared" ca="1" si="95"/>
        <v>113.72448979591837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กำแพงเพชร!I613+เชียงราย!I613+เชียงใหม่!I613+ตาก!I613+นครสวรรค์!I613+น่าน!I613+พะเยา!I613+พิจิตร!I613+พิษณุโลก!I613+เพชรบูรณ์!I613+แพร่!I613+แม่ฮ่องสอน!I613+ลำปาง!I613+ลำพูน!I613+สุโขทัย!I613+อุตรดิตถ์!I613+อุทัยธานี!I613</f>
        <v>0</v>
      </c>
      <c r="J613" s="197">
        <f ca="1">กำแพงเพชร!J613+เชียงราย!J613+เชียงใหม่!J613+ตาก!J613+นครสวรรค์!J613+น่าน!J613+พะเยา!J613+พิจิตร!J613+พิษณุโลก!J613+เพชรบูรณ์!J613+แพร่!J613+แม่ฮ่องสอน!J613+ลำปาง!J613+ลำพูน!J613+สุโขทัย!J613+อุตรดิตถ์!J613+อุทัยธานี!J613</f>
        <v>1275.75</v>
      </c>
      <c r="K613" s="163">
        <f t="shared" ca="1" si="95"/>
        <v>86.785714285714292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กำแพงเพชร!I614+เชียงราย!I614+เชียงใหม่!I614+ตาก!I614+นครสวรรค์!I614+น่าน!I614+พะเยา!I614+พิจิตร!I614+พิษณุโลก!I614+เพชรบูรณ์!I614+แพร่!I614+แม่ฮ่องสอน!I614+ลำปาง!I614+ลำพูน!I614+สุโขทัย!I614+อุตรดิตถ์!I614+อุทัยธานี!I614</f>
        <v>0</v>
      </c>
      <c r="J614" s="197">
        <f ca="1">กำแพงเพชร!J614+เชียงราย!J614+เชียงใหม่!J614+ตาก!J614+นครสวรรค์!J614+น่าน!J614+พะเยา!J614+พิจิตร!J614+พิษณุโลก!J614+เพชรบูรณ์!J614+แพร่!J614+แม่ฮ่องสอน!J614+ลำปาง!J614+ลำพูน!J614+สุโขทัย!J614+อุตรดิตถ์!J614+อุทัยธานี!J614</f>
        <v>399.75</v>
      </c>
      <c r="K614" s="163">
        <f t="shared" ca="1" si="95"/>
        <v>27.193877551020407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กำแพงเพชร!I615+เชียงราย!I615+เชียงใหม่!I615+ตาก!I615+นครสวรรค์!I615+น่าน!I615+พะเยา!I615+พิจิตร!I615+พิษณุโลก!I615+เพชรบูรณ์!I615+แพร่!I615+แม่ฮ่องสอน!I615+ลำปาง!I615+ลำพูน!I615+สุโขทัย!I615+อุตรดิตถ์!I615+อุทัยธานี!I615</f>
        <v>0</v>
      </c>
      <c r="J615" s="197">
        <f ca="1">กำแพงเพชร!J615+เชียงราย!J615+เชียงใหม่!J615+ตาก!J615+นครสวรรค์!J615+น่าน!J615+พะเยา!J615+พิจิตร!J615+พิษณุโลก!J615+เพชรบูรณ์!J615+แพร่!J615+แม่ฮ่องสอน!J615+ลำปาง!J615+ลำพูน!J615+สุโขทัย!J615+อุตรดิตถ์!J615+อุทัยธานี!J615</f>
        <v>399.75</v>
      </c>
      <c r="K615" s="163">
        <f t="shared" ca="1" si="95"/>
        <v>27.193877551020407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กำแพงเพชร!I616+เชียงราย!I616+เชียงใหม่!I616+ตาก!I616+นครสวรรค์!I616+น่าน!I616+พะเยา!I616+พิจิตร!I616+พิษณุโลก!I616+เพชรบูรณ์!I616+แพร่!I616+แม่ฮ่องสอน!I616+ลำปาง!I616+ลำพูน!I616+สุโขทัย!I616+อุตรดิตถ์!I616+อุทัยธานี!I616</f>
        <v>0</v>
      </c>
      <c r="J616" s="197">
        <f ca="1">กำแพงเพชร!J616+เชียงราย!J616+เชียงใหม่!J616+ตาก!J616+นครสวรรค์!J616+น่าน!J616+พะเยา!J616+พิจิตร!J616+พิษณุโลก!J616+เพชรบูรณ์!J616+แพร่!J616+แม่ฮ่องสอน!J616+ลำปาง!J616+ลำพูน!J616+สุโขทัย!J616+อุตรดิตถ์!J616+อุทัยธานี!J616</f>
        <v>0</v>
      </c>
      <c r="K616" s="163">
        <f t="shared" ca="1" si="95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กำแพงเพชร!I617+เชียงราย!I617+เชียงใหม่!I617+ตาก!I617+นครสวรรค์!I617+น่าน!I617+พะเยา!I617+พิจิตร!I617+พิษณุโลก!I617+เพชรบูรณ์!I617+แพร่!I617+แม่ฮ่องสอน!I617+ลำปาง!I617+ลำพูน!I617+สุโขทัย!I617+อุตรดิตถ์!I617+อุทัยธานี!I617</f>
        <v>0</v>
      </c>
      <c r="J617" s="187">
        <f ca="1">กำแพงเพชร!J617+เชียงราย!J617+เชียงใหม่!J617+ตาก!J617+นครสวรรค์!J617+น่าน!J617+พะเยา!J617+พิจิตร!J617+พิษณุโลก!J617+เพชรบูรณ์!J617+แพร่!J617+แม่ฮ่องสอน!J617+ลำปาง!J617+ลำพูน!J617+สุโขทัย!J617+อุตรดิตถ์!J617+อุทัยธานี!J617</f>
        <v>0</v>
      </c>
      <c r="K617" s="163">
        <f t="shared" ca="1" si="95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กำแพงเพชร!I618+เชียงราย!I618+เชียงใหม่!I618+ตาก!I618+นครสวรรค์!I618+น่าน!I618+พะเยา!I618+พิจิตร!I618+พิษณุโลก!I618+เพชรบูรณ์!I618+แพร่!I618+แม่ฮ่องสอน!I618+ลำปาง!I618+ลำพูน!I618+สุโขทัย!I618+อุตรดิตถ์!I618+อุทัยธานี!I618</f>
        <v>0</v>
      </c>
      <c r="J618" s="188">
        <f ca="1">กำแพงเพชร!J618+เชียงราย!J618+เชียงใหม่!J618+ตาก!J618+นครสวรรค์!J618+น่าน!J618+พะเยา!J618+พิจิตร!J618+พิษณุโลก!J618+เพชรบูรณ์!J618+แพร่!J618+แม่ฮ่องสอน!J618+ลำปาง!J618+ลำพูน!J618+สุโขทัย!J618+อุตรดิตถ์!J618+อุทัยธานี!J618</f>
        <v>0</v>
      </c>
      <c r="K618" s="163">
        <f t="shared" ca="1" si="95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กำแพงเพชร!I619+เชียงราย!I619+เชียงใหม่!I619+ตาก!I619+นครสวรรค์!I619+น่าน!I619+พะเยา!I619+พิจิตร!I619+พิษณุโลก!I619+เพชรบูรณ์!I619+แพร่!I619+แม่ฮ่องสอน!I619+ลำปาง!I619+ลำพูน!I619+สุโขทัย!I619+อุตรดิตถ์!I619+อุทัยธานี!I619</f>
        <v>0</v>
      </c>
      <c r="J619" s="188">
        <f ca="1">กำแพงเพชร!J619+เชียงราย!J619+เชียงใหม่!J619+ตาก!J619+นครสวรรค์!J619+น่าน!J619+พะเยา!J619+พิจิตร!J619+พิษณุโลก!J619+เพชรบูรณ์!J619+แพร่!J619+แม่ฮ่องสอน!J619+ลำปาง!J619+ลำพูน!J619+สุโขทัย!J619+อุตรดิตถ์!J619+อุทัยธานี!J619</f>
        <v>0</v>
      </c>
      <c r="K619" s="163">
        <f t="shared" ca="1" si="95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กำแพงเพชร!I620+เชียงราย!I620+เชียงใหม่!I620+ตาก!I620+นครสวรรค์!I620+น่าน!I620+พะเยา!I620+พิจิตร!I620+พิษณุโลก!I620+เพชรบูรณ์!I620+แพร่!I620+แม่ฮ่องสอน!I620+ลำปาง!I620+ลำพูน!I620+สุโขทัย!I620+อุตรดิตถ์!I620+อุทัยธานี!I620</f>
        <v>3997</v>
      </c>
      <c r="J620" s="202">
        <f ca="1">กำแพงเพชร!J620+เชียงราย!J620+เชียงใหม่!J620+ตาก!J620+นครสวรรค์!J620+น่าน!J620+พะเยา!J620+พิจิตร!J620+พิษณุโลก!J620+เพชรบูรณ์!J620+แพร่!J620+แม่ฮ่องสอน!J620+ลำปาง!J620+ลำพูน!J620+สุโขทัย!J620+อุตรดิตถ์!J620+อุทัยธานี!J620</f>
        <v>0</v>
      </c>
      <c r="K620" s="163">
        <f t="shared" ref="K620:K626" ca="1" si="96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กำแพงเพชร!I621+เชียงราย!I621+เชียงใหม่!I621+ตาก!I621+นครสวรรค์!I621+น่าน!I621+พะเยา!I621+พิจิตร!I621+พิษณุโลก!I621+เพชรบูรณ์!I621+แพร่!I621+แม่ฮ่องสอน!I621+ลำปาง!I621+ลำพูน!I621+สุโขทัย!I621+อุตรดิตถ์!I621+อุทัยธานี!I621</f>
        <v>0</v>
      </c>
      <c r="J621" s="202">
        <f ca="1">กำแพงเพชร!J621+เชียงราย!J621+เชียงใหม่!J621+ตาก!J621+นครสวรรค์!J621+น่าน!J621+พะเยา!J621+พิจิตร!J621+พิษณุโลก!J621+เพชรบูรณ์!J621+แพร่!J621+แม่ฮ่องสอน!J621+ลำปาง!J621+ลำพูน!J621+สุโขทัย!J621+อุตรดิตถ์!J621+อุทัยธานี!J621</f>
        <v>0</v>
      </c>
      <c r="K621" s="163">
        <f t="shared" ca="1" si="96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กำแพงเพชร!I622+เชียงราย!I622+เชียงใหม่!I622+ตาก!I622+นครสวรรค์!I622+น่าน!I622+พะเยา!I622+พิจิตร!I622+พิษณุโลก!I622+เพชรบูรณ์!I622+แพร่!I622+แม่ฮ่องสอน!I622+ลำปาง!I622+ลำพูน!I622+สุโขทัย!I622+อุตรดิตถ์!I622+อุทัยธานี!I622</f>
        <v>0</v>
      </c>
      <c r="J622" s="188">
        <f ca="1">กำแพงเพชร!J622+เชียงราย!J622+เชียงใหม่!J622+ตาก!J622+นครสวรรค์!J622+น่าน!J622+พะเยา!J622+พิจิตร!J622+พิษณุโลก!J622+เพชรบูรณ์!J622+แพร่!J622+แม่ฮ่องสอน!J622+ลำปาง!J622+ลำพูน!J622+สุโขทัย!J622+อุตรดิตถ์!J622+อุทัยธานี!J622</f>
        <v>0</v>
      </c>
      <c r="K622" s="163">
        <f t="shared" ca="1" si="96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กำแพงเพชร!I623+เชียงราย!I623+เชียงใหม่!I623+ตาก!I623+นครสวรรค์!I623+น่าน!I623+พะเยา!I623+พิจิตร!I623+พิษณุโลก!I623+เพชรบูรณ์!I623+แพร่!I623+แม่ฮ่องสอน!I623+ลำปาง!I623+ลำพูน!I623+สุโขทัย!I623+อุตรดิตถ์!I623+อุทัยธานี!I623</f>
        <v>0</v>
      </c>
      <c r="J623" s="188">
        <f ca="1">กำแพงเพชร!J623+เชียงราย!J623+เชียงใหม่!J623+ตาก!J623+นครสวรรค์!J623+น่าน!J623+พะเยา!J623+พิจิตร!J623+พิษณุโลก!J623+เพชรบูรณ์!J623+แพร่!J623+แม่ฮ่องสอน!J623+ลำปาง!J623+ลำพูน!J623+สุโขทัย!J623+อุตรดิตถ์!J623+อุทัยธานี!J623</f>
        <v>0</v>
      </c>
      <c r="K623" s="163">
        <f t="shared" ca="1" si="96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กำแพงเพชร!I624+เชียงราย!I624+เชียงใหม่!I624+ตาก!I624+นครสวรรค์!I624+น่าน!I624+พะเยา!I624+พิจิตร!I624+พิษณุโลก!I624+เพชรบูรณ์!I624+แพร่!I624+แม่ฮ่องสอน!I624+ลำปาง!I624+ลำพูน!I624+สุโขทัย!I624+อุตรดิตถ์!I624+อุทัยธานี!I624</f>
        <v>0</v>
      </c>
      <c r="J624" s="187">
        <f ca="1">กำแพงเพชร!J624+เชียงราย!J624+เชียงใหม่!J624+ตาก!J624+นครสวรรค์!J624+น่าน!J624+พะเยา!J624+พิจิตร!J624+พิษณุโลก!J624+เพชรบูรณ์!J624+แพร่!J624+แม่ฮ่องสอน!J624+ลำปาง!J624+ลำพูน!J624+สุโขทัย!J624+อุตรดิตถ์!J624+อุทัยธานี!J624</f>
        <v>0</v>
      </c>
      <c r="K624" s="163">
        <f t="shared" ca="1" si="96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กำแพงเพชร!I625+เชียงราย!I625+เชียงใหม่!I625+ตาก!I625+นครสวรรค์!I625+น่าน!I625+พะเยา!I625+พิจิตร!I625+พิษณุโลก!I625+เพชรบูรณ์!I625+แพร่!I625+แม่ฮ่องสอน!I625+ลำปาง!I625+ลำพูน!I625+สุโขทัย!I625+อุตรดิตถ์!I625+อุทัยธานี!I625</f>
        <v>0</v>
      </c>
      <c r="J625" s="188">
        <f ca="1">กำแพงเพชร!J625+เชียงราย!J625+เชียงใหม่!J625+ตาก!J625+นครสวรรค์!J625+น่าน!J625+พะเยา!J625+พิจิตร!J625+พิษณุโลก!J625+เพชรบูรณ์!J625+แพร่!J625+แม่ฮ่องสอน!J625+ลำปาง!J625+ลำพูน!J625+สุโขทัย!J625+อุตรดิตถ์!J625+อุทัยธานี!J625</f>
        <v>0</v>
      </c>
      <c r="K625" s="163">
        <f t="shared" ca="1" si="96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กำแพงเพชร!I626+เชียงราย!I626+เชียงใหม่!I626+ตาก!I626+นครสวรรค์!I626+น่าน!I626+พะเยา!I626+พิจิตร!I626+พิษณุโลก!I626+เพชรบูรณ์!I626+แพร่!I626+แม่ฮ่องสอน!I626+ลำปาง!I626+ลำพูน!I626+สุโขทัย!I626+อุตรดิตถ์!I626+อุทัยธานี!I626</f>
        <v>0</v>
      </c>
      <c r="J626" s="188">
        <f ca="1">กำแพงเพชร!J626+เชียงราย!J626+เชียงใหม่!J626+ตาก!J626+นครสวรรค์!J626+น่าน!J626+พะเยา!J626+พิจิตร!J626+พิษณุโลก!J626+เพชรบูรณ์!J626+แพร่!J626+แม่ฮ่องสอน!J626+ลำปาง!J626+ลำพูน!J626+สุโขทัย!J626+อุตรดิตถ์!J626+อุทัยธานี!J626</f>
        <v>100</v>
      </c>
      <c r="K626" s="163">
        <f t="shared" ca="1" si="96"/>
        <v>2.5018764073054789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กำแพงเพชร!I628+เชียงราย!I628+เชียงใหม่!I628+ตาก!I628+นครสวรรค์!I628+น่าน!I628+พะเยา!I628+พิจิตร!I628+พิษณุโลก!I628+เพชรบูรณ์!I628+แพร่!I628+แม่ฮ่องสอน!I628+ลำปาง!I628+ลำพูน!I628+สุโขทัย!I628+อุตรดิตถ์!I628+อุทัยธานี!I628</f>
        <v>96312397.550000012</v>
      </c>
      <c r="J628" s="341">
        <f ca="1">กำแพงเพชร!J628+เชียงราย!J628+เชียงใหม่!J628+ตาก!J628+นครสวรรค์!J628+น่าน!J628+พะเยา!J628+พิจิตร!J628+พิษณุโลก!J628+เพชรบูรณ์!J628+แพร่!J628+แม่ฮ่องสอน!J628+ลำปาง!J628+ลำพูน!J628+สุโขทัย!J628+อุตรดิตถ์!J628+อุทัยธานี!J628</f>
        <v>55769918.639999993</v>
      </c>
      <c r="K628" s="342">
        <f t="shared" ref="K628:K635" ca="1" si="97">IF(I628&gt;0,J628*100/I628,0)</f>
        <v>57.905233447280104</v>
      </c>
      <c r="L628" s="342"/>
      <c r="M628" s="342"/>
      <c r="N628" s="342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กำแพงเพชร!I629+เชียงราย!I629+เชียงใหม่!I629+ตาก!I629+นครสวรรค์!I629+น่าน!I629+พะเยา!I629+พิจิตร!I629+พิษณุโลก!I629+เพชรบูรณ์!I629+แพร่!I629+แม่ฮ่องสอน!I629+ลำปาง!I629+ลำพูน!I629+สุโขทัย!I629+อุตรดิตถ์!I629+อุทัยธานี!I629</f>
        <v>4838</v>
      </c>
      <c r="J629" s="341">
        <f ca="1">กำแพงเพชร!J629+เชียงราย!J629+เชียงใหม่!J629+ตาก!J629+นครสวรรค์!J629+น่าน!J629+พะเยา!J629+พิจิตร!J629+พิษณุโลก!J629+เพชรบูรณ์!J629+แพร่!J629+แม่ฮ่องสอน!J629+ลำปาง!J629+ลำพูน!J629+สุโขทัย!J629+อุตรดิตถ์!J629+อุทัยธานี!J629</f>
        <v>3095</v>
      </c>
      <c r="K629" s="342">
        <f t="shared" ca="1" si="97"/>
        <v>63.972715998346423</v>
      </c>
      <c r="L629" s="342"/>
      <c r="M629" s="342"/>
      <c r="N629" s="342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กำแพงเพชร!I630+เชียงราย!I630+เชียงใหม่!I630+ตาก!I630+นครสวรรค์!I630+น่าน!I630+พะเยา!I630+พิจิตร!I630+พิษณุโลก!I630+เพชรบูรณ์!I630+แพร่!I630+แม่ฮ่องสอน!I630+ลำปาง!I630+ลำพูน!I630+สุโขทัย!I630+อุตรดิตถ์!I630+อุทัยธานี!I630</f>
        <v>111876079.07000001</v>
      </c>
      <c r="J630" s="341">
        <f ca="1">กำแพงเพชร!J630+เชียงราย!J630+เชียงใหม่!J630+ตาก!J630+นครสวรรค์!J630+น่าน!J630+พะเยา!J630+พิจิตร!J630+พิษณุโลก!J630+เพชรบูรณ์!J630+แพร่!J630+แม่ฮ่องสอน!J630+ลำปาง!J630+ลำพูน!J630+สุโขทัย!J630+อุตรดิตถ์!J630+อุทัยธานี!J630</f>
        <v>10799418.719999999</v>
      </c>
      <c r="K630" s="342">
        <f t="shared" ca="1" si="97"/>
        <v>9.6530185985896821</v>
      </c>
      <c r="L630" s="342"/>
      <c r="M630" s="342"/>
      <c r="N630" s="342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กำแพงเพชร!I631+เชียงราย!I631+เชียงใหม่!I631+ตาก!I631+นครสวรรค์!I631+น่าน!I631+พะเยา!I631+พิจิตร!I631+พิษณุโลก!I631+เพชรบูรณ์!I631+แพร่!I631+แม่ฮ่องสอน!I631+ลำปาง!I631+ลำพูน!I631+สุโขทัย!I631+อุตรดิตถ์!I631+อุทัยธานี!I631</f>
        <v>4388</v>
      </c>
      <c r="J631" s="341">
        <f ca="1">กำแพงเพชร!J631+เชียงราย!J631+เชียงใหม่!J631+ตาก!J631+นครสวรรค์!J631+น่าน!J631+พะเยา!J631+พิจิตร!J631+พิษณุโลก!J631+เพชรบูรณ์!J631+แพร่!J631+แม่ฮ่องสอน!J631+ลำปาง!J631+ลำพูน!J631+สุโขทัย!J631+อุตรดิตถ์!J631+อุทัยธานี!J631</f>
        <v>1900</v>
      </c>
      <c r="K631" s="342">
        <f t="shared" ca="1" si="97"/>
        <v>43.299908842297171</v>
      </c>
      <c r="L631" s="342"/>
      <c r="M631" s="342"/>
      <c r="N631" s="342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กำแพงเพชร!I632+เชียงราย!I632+เชียงใหม่!I632+ตาก!I632+นครสวรรค์!I632+น่าน!I632+พะเยา!I632+พิจิตร!I632+พิษณุโลก!I632+เพชรบูรณ์!I632+แพร่!I632+แม่ฮ่องสอน!I632+ลำปาง!I632+ลำพูน!I632+สุโขทัย!I632+อุตรดิตถ์!I632+อุทัยธานี!I632</f>
        <v>76453605.469999984</v>
      </c>
      <c r="J632" s="341">
        <f ca="1">กำแพงเพชร!J632+เชียงราย!J632+เชียงใหม่!J632+ตาก!J632+นครสวรรค์!J632+น่าน!J632+พะเยา!J632+พิจิตร!J632+พิษณุโลก!J632+เพชรบูรณ์!J632+แพร่!J632+แม่ฮ่องสอน!J632+ลำปาง!J632+ลำพูน!J632+สุโขทัย!J632+อุตรดิตถ์!J632+อุทัยธานี!J632</f>
        <v>20831779.43</v>
      </c>
      <c r="K632" s="342">
        <f t="shared" ca="1" si="97"/>
        <v>27.24760892823333</v>
      </c>
      <c r="L632" s="342"/>
      <c r="M632" s="342"/>
      <c r="N632" s="342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กำแพงเพชร!I633+เชียงราย!I633+เชียงใหม่!I633+ตาก!I633+นครสวรรค์!I633+น่าน!I633+พะเยา!I633+พิจิตร!I633+พิษณุโลก!I633+เพชรบูรณ์!I633+แพร่!I633+แม่ฮ่องสอน!I633+ลำปาง!I633+ลำพูน!I633+สุโขทัย!I633+อุตรดิตถ์!I633+อุทัยธานี!I633</f>
        <v>6326</v>
      </c>
      <c r="J633" s="341">
        <f ca="1">กำแพงเพชร!J633+เชียงราย!J633+เชียงใหม่!J633+ตาก!J633+นครสวรรค์!J633+น่าน!J633+พะเยา!J633+พิจิตร!J633+พิษณุโลก!J633+เพชรบูรณ์!J633+แพร่!J633+แม่ฮ่องสอน!J633+ลำปาง!J633+ลำพูน!J633+สุโขทัย!J633+อุตรดิตถ์!J633+อุทัยธานี!J633</f>
        <v>3175</v>
      </c>
      <c r="K633" s="342">
        <f t="shared" ca="1" si="97"/>
        <v>50.189693329117929</v>
      </c>
      <c r="L633" s="342"/>
      <c r="M633" s="342"/>
      <c r="N633" s="342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กำแพงเพชร!I634+เชียงราย!I634+เชียงใหม่!I634+ตาก!I634+นครสวรรค์!I634+น่าน!I634+พะเยา!I634+พิจิตร!I634+พิษณุโลก!I634+เพชรบูรณ์!I634+แพร่!I634+แม่ฮ่องสอน!I634+ลำปาง!I634+ลำพูน!I634+สุโขทัย!I634+อุตรดิตถ์!I634+อุทัยธานี!I634</f>
        <v>85535000</v>
      </c>
      <c r="J634" s="341">
        <f ca="1">กำแพงเพชร!J634+เชียงราย!J634+เชียงใหม่!J634+ตาก!J634+นครสวรรค์!J634+น่าน!J634+พะเยา!J634+พิจิตร!J634+พิษณุโลก!J634+เพชรบูรณ์!J634+แพร่!J634+แม่ฮ่องสอน!J634+ลำปาง!J634+ลำพูน!J634+สุโขทัย!J634+อุตรดิตถ์!J634+อุทัยธานี!J634</f>
        <v>50378000</v>
      </c>
      <c r="K634" s="342">
        <f t="shared" ca="1" si="97"/>
        <v>58.897527327994389</v>
      </c>
      <c r="L634" s="342"/>
      <c r="M634" s="342"/>
      <c r="N634" s="342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กำแพงเพชร!I635+เชียงราย!I635+เชียงใหม่!I635+ตาก!I635+นครสวรรค์!I635+น่าน!I635+พะเยา!I635+พิจิตร!I635+พิษณุโลก!I635+เพชรบูรณ์!I635+แพร่!I635+แม่ฮ่องสอน!I635+ลำปาง!I635+ลำพูน!I635+สุโขทัย!I635+อุตรดิตถ์!I635+อุทัยธานี!I635</f>
        <v>2565</v>
      </c>
      <c r="J635" s="504">
        <f ca="1">กำแพงเพชร!J635+เชียงราย!J635+เชียงใหม่!J635+ตาก!J635+นครสวรรค์!J635+น่าน!J635+พะเยา!J635+พิจิตร!J635+พิษณุโลก!J635+เพชรบูรณ์!J635+แพร่!J635+แม่ฮ่องสอน!J635+ลำปาง!J635+ลำพูน!J635+สุโขทัย!J635+อุตรดิตถ์!J635+อุทัยธานี!J635</f>
        <v>1463</v>
      </c>
      <c r="K635" s="486">
        <f t="shared" ca="1" si="97"/>
        <v>57.037037037037038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270145</v>
      </c>
      <c r="M636" s="510"/>
      <c r="N636" s="509">
        <f ca="1">SUM(N637:N638)</f>
        <v>19450</v>
      </c>
      <c r="O636" s="509">
        <f t="shared" ref="O636:O640" ca="1" si="98">+IF(L636&gt;0,N636*100/L636,0)</f>
        <v>7.1998371245072095</v>
      </c>
      <c r="P636" s="509"/>
    </row>
    <row r="637" spans="1:16" ht="21.75" customHeight="1" x14ac:dyDescent="0.45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98"/>
        <v>0</v>
      </c>
      <c r="P637" s="52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270145</v>
      </c>
      <c r="M638" s="520"/>
      <c r="N638" s="521">
        <f ca="1">SUM(N639:N640)</f>
        <v>19450</v>
      </c>
      <c r="O638" s="521">
        <f t="shared" ca="1" si="98"/>
        <v>7.1998371245072095</v>
      </c>
      <c r="P638" s="52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98"/>
        <v>0</v>
      </c>
      <c r="P639" s="52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270145</v>
      </c>
      <c r="M640" s="520"/>
      <c r="N640" s="521">
        <f ca="1">SUM(N641:N644)</f>
        <v>19450</v>
      </c>
      <c r="O640" s="521">
        <f t="shared" ca="1" si="98"/>
        <v>7.1998371245072095</v>
      </c>
      <c r="P640" s="52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19450</v>
      </c>
      <c r="O644" s="524"/>
      <c r="P644" s="524"/>
    </row>
    <row r="645" spans="1:16" ht="21.75" customHeight="1" x14ac:dyDescent="0.45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5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กำแพงเพชร!J646+เชียงราย!J646+เชียงใหม่!J646+ตาก!J646+นครสวรรค์!J646+น่าน!J646+พะเยา!J646+พิจิตร!J646+พิษณุโลก!J646+เพชรบูรณ์!J646+แพร่!J646+แม่ฮ่องสอน!J646+ลำปาง!J646+ลำพูน!J646+สุโขทัย!J646+อุตรดิตถ์!J646+อุทัยธานี!J646</f>
        <v>1</v>
      </c>
      <c r="K646" s="518"/>
      <c r="L646" s="528"/>
      <c r="M646" s="520"/>
      <c r="N646" s="532"/>
      <c r="O646" s="518"/>
      <c r="P646" s="518"/>
    </row>
    <row r="647" spans="1:16" ht="21.75" customHeight="1" x14ac:dyDescent="0.45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กำแพงเพชร!J647+เชียงราย!J647+เชียงใหม่!J647+ตาก!J647+นครสวรรค์!J647+น่าน!J647+พะเยา!J647+พิจิตร!J647+พิษณุโลก!J647+เพชรบูรณ์!J647+แพร่!J647+แม่ฮ่องสอน!J647+ลำปาง!J647+ลำพูน!J647+สุโขทัย!J647+อุตรดิตถ์!J647+อุทัยธานี!J647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5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กำแพงเพชร!I648+เชียงราย!I648+เชียงใหม่!I648+ตาก!I648+นครสวรรค์!I648+น่าน!I648+พะเยา!I648+พิจิตร!I648+พิษณุโลก!I648+เพชรบูรณ์!I648+แพร่!I648+แม่ฮ่องสอน!I648+ลำปาง!I648+ลำพูน!I648+สุโขทัย!I648+อุตรดิตถ์!I648+อุทัยธานี!I648</f>
        <v>123</v>
      </c>
      <c r="J648" s="535">
        <f ca="1">กำแพงเพชร!J648+เชียงราย!J648+เชียงใหม่!J648+ตาก!J648+นครสวรรค์!J648+น่าน!J648+พะเยา!J648+พิจิตร!J648+พิษณุโลก!J648+เพชรบูรณ์!J648+แพร่!J648+แม่ฮ่องสอน!J648+ลำปาง!J648+ลำพูน!J648+สุโขทัย!J648+อุตรดิตถ์!J648+อุทัยธานี!J648</f>
        <v>0</v>
      </c>
      <c r="K648" s="536">
        <f t="shared" ref="K648:K651" ca="1" si="99">IF(I648&gt;0,J648*100/I648,0)</f>
        <v>0</v>
      </c>
      <c r="L648" s="521">
        <f ca="1">กำแพงเพชร!L648+เชียงราย!L648+เชียงใหม่!L648+ตาก!L648+นครสวรรค์!L648+น่าน!L648+พะเยา!L648+พิจิตร!L648+พิษณุโลก!L648+เพชรบูรณ์!L648+แพร่!L648+แม่ฮ่องสอน!L648+ลำปาง!L648+ลำพูน!L648+สุโขทัย!L648+อุตรดิตถ์!L648+อุทัยธานี!L648</f>
        <v>9840</v>
      </c>
      <c r="M648" s="520"/>
      <c r="N648" s="537">
        <f ca="1">กำแพงเพชร!N648+เชียงราย!N648+เชียงใหม่!N648+ตาก!N648+นครสวรรค์!N648+น่าน!N648+พะเยา!N648+พิจิตร!N648+พิษณุโลก!N648+เพชรบูรณ์!N648+แพร่!N648+แม่ฮ่องสอน!N648+ลำปาง!N648+ลำพูน!N648+สุโขทัย!N648+อุตรดิตถ์!N648+อุทัยธานี!N648</f>
        <v>0</v>
      </c>
      <c r="O648" s="536">
        <f t="shared" ref="O648:O651" ca="1" si="100">IF(L648&gt;0,N648*100/L648,0)</f>
        <v>0</v>
      </c>
      <c r="P648" s="536"/>
    </row>
    <row r="649" spans="1:16" ht="21.75" customHeight="1" x14ac:dyDescent="0.45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กำแพงเพชร!I649+เชียงราย!I649+เชียงใหม่!I649+ตาก!I649+นครสวรรค์!I649+น่าน!I649+พะเยา!I649+พิจิตร!I649+พิษณุโลก!I649+เพชรบูรณ์!I649+แพร่!I649+แม่ฮ่องสอน!I649+ลำปาง!I649+ลำพูน!I649+สุโขทัย!I649+อุตรดิตถ์!I649+อุทัยธานี!I649</f>
        <v>57</v>
      </c>
      <c r="J649" s="535">
        <f ca="1">กำแพงเพชร!J649+เชียงราย!J649+เชียงใหม่!J649+ตาก!J649+นครสวรรค์!J649+น่าน!J649+พะเยา!J649+พิจิตร!J649+พิษณุโลก!J649+เพชรบูรณ์!J649+แพร่!J649+แม่ฮ่องสอน!J649+ลำปาง!J649+ลำพูน!J649+สุโขทัย!J649+อุตรดิตถ์!J649+อุทัยธานี!J649</f>
        <v>0</v>
      </c>
      <c r="K649" s="536">
        <f t="shared" ca="1" si="99"/>
        <v>0</v>
      </c>
      <c r="L649" s="521">
        <f ca="1">กำแพงเพชร!L649+เชียงราย!L649+เชียงใหม่!L649+ตาก!L649+นครสวรรค์!L649+น่าน!L649+พะเยา!L649+พิจิตร!L649+พิษณุโลก!L649+เพชรบูรณ์!L649+แพร่!L649+แม่ฮ่องสอน!L649+ลำปาง!L649+ลำพูน!L649+สุโขทัย!L649+อุตรดิตถ์!L649+อุทัยธานี!L649</f>
        <v>6840</v>
      </c>
      <c r="M649" s="520"/>
      <c r="N649" s="537">
        <f ca="1">กำแพงเพชร!N649+เชียงราย!N649+เชียงใหม่!N649+ตาก!N649+นครสวรรค์!N649+น่าน!N649+พะเยา!N649+พิจิตร!N649+พิษณุโลก!N649+เพชรบูรณ์!N649+แพร่!N649+แม่ฮ่องสอน!N649+ลำปาง!N649+ลำพูน!N649+สุโขทัย!N649+อุตรดิตถ์!N649+อุทัยธานี!N649</f>
        <v>0</v>
      </c>
      <c r="O649" s="536">
        <f t="shared" ca="1" si="100"/>
        <v>0</v>
      </c>
      <c r="P649" s="536"/>
    </row>
    <row r="650" spans="1:16" ht="21.75" customHeight="1" x14ac:dyDescent="0.45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กำแพงเพชร!I650+เชียงราย!I650+เชียงใหม่!I650+ตาก!I650+นครสวรรค์!I650+น่าน!I650+พะเยา!I650+พิจิตร!I650+พิษณุโลก!I650+เพชรบูรณ์!I650+แพร่!I650+แม่ฮ่องสอน!I650+ลำปาง!I650+ลำพูน!I650+สุโขทัย!I650+อุตรดิตถ์!I650+อุทัยธานี!I650</f>
        <v>1974</v>
      </c>
      <c r="J650" s="535">
        <f ca="1">กำแพงเพชร!J650+เชียงราย!J650+เชียงใหม่!J650+ตาก!J650+นครสวรรค์!J650+น่าน!J650+พะเยา!J650+พิจิตร!J650+พิษณุโลก!J650+เพชรบูรณ์!J650+แพร่!J650+แม่ฮ่องสอน!J650+ลำปาง!J650+ลำพูน!J650+สุโขทัย!J650+อุตรดิตถ์!J650+อุทัยธานี!J650</f>
        <v>28.38</v>
      </c>
      <c r="K650" s="536">
        <f t="shared" ca="1" si="99"/>
        <v>1.4376899696048633</v>
      </c>
      <c r="L650" s="521">
        <f ca="1">กำแพงเพชร!L650+เชียงราย!L650+เชียงใหม่!L650+ตาก!L650+นครสวรรค์!L650+น่าน!L650+พะเยา!L650+พิจิตร!L650+พิษณุโลก!L650+เพชรบูรณ์!L650+แพร่!L650+แม่ฮ่องสอน!L650+ลำปาง!L650+ลำพูน!L650+สุโขทัย!L650+อุตรดิตถ์!L650+อุทัยธานี!L650</f>
        <v>9870</v>
      </c>
      <c r="M650" s="520"/>
      <c r="N650" s="537">
        <f ca="1">กำแพงเพชร!N650+เชียงราย!N650+เชียงใหม่!N650+ตาก!N650+นครสวรรค์!N650+น่าน!N650+พะเยา!N650+พิจิตร!N650+พิษณุโลก!N650+เพชรบูรณ์!N650+แพร่!N650+แม่ฮ่องสอน!N650+ลำปาง!N650+ลำพูน!N650+สุโขทัย!N650+อุตรดิตถ์!N650+อุทัยธานี!N650</f>
        <v>0</v>
      </c>
      <c r="O650" s="536">
        <f t="shared" ca="1" si="100"/>
        <v>0</v>
      </c>
      <c r="P650" s="536"/>
    </row>
    <row r="651" spans="1:16" ht="21.75" customHeight="1" x14ac:dyDescent="0.45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กำแพงเพชร!I651+เชียงราย!I651+เชียงใหม่!I651+ตาก!I651+นครสวรรค์!I651+น่าน!I651+พะเยา!I651+พิจิตร!I651+พิษณุโลก!I651+เพชรบูรณ์!I651+แพร่!I651+แม่ฮ่องสอน!I651+ลำปาง!I651+ลำพูน!I651+สุโขทัย!I651+อุตรดิตถ์!I651+อุทัยธานี!I651</f>
        <v>1795</v>
      </c>
      <c r="J651" s="535">
        <f ca="1">J657+J660</f>
        <v>820</v>
      </c>
      <c r="K651" s="536">
        <f t="shared" ca="1" si="99"/>
        <v>45.682451253481894</v>
      </c>
      <c r="L651" s="521">
        <f ca="1">กำแพงเพชร!L651+เชียงราย!L651+เชียงใหม่!L651+ตาก!L651+นครสวรรค์!L651+น่าน!L651+พะเยา!L651+พิจิตร!L651+พิษณุโลก!L651+เพชรบูรณ์!L651+แพร่!L651+แม่ฮ่องสอน!L651+ลำปาง!L651+ลำพูน!L651+สุโขทัย!L651+อุตรดิตถ์!L651+อุทัยธานี!L651</f>
        <v>44875</v>
      </c>
      <c r="M651" s="520"/>
      <c r="N651" s="537">
        <f ca="1">กำแพงเพชร!N651+เชียงราย!N651+เชียงใหม่!N651+ตาก!N651+นครสวรรค์!N651+น่าน!N651+พะเยา!N651+พิจิตร!N651+พิษณุโลก!N651+เพชรบูรณ์!N651+แพร่!N651+แม่ฮ่องสอน!N651+ลำปาง!N651+ลำพูน!N651+สุโขทัย!N651+อุตรดิตถ์!N651+อุทัยธานี!N651</f>
        <v>1600</v>
      </c>
      <c r="O651" s="536">
        <f t="shared" ca="1" si="100"/>
        <v>3.5654596100278551</v>
      </c>
      <c r="P651" s="536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กำแพงเพชร!J652+เชียงราย!J652+เชียงใหม่!J652+ตาก!J652+นครสวรรค์!J652+น่าน!J652+พะเยา!J652+พิจิตร!J652+พิษณุโลก!J652+เพชรบูรณ์!J652+แพร่!J652+แม่ฮ่องสอน!J652+ลำปาง!J652+ลำพูน!J652+สุโขทัย!J652+อุตรดิตถ์!J652+อุทัยธานี!J652</f>
        <v>34</v>
      </c>
      <c r="K652" s="536"/>
      <c r="L652" s="528"/>
      <c r="M652" s="520"/>
      <c r="N652" s="528"/>
      <c r="O652" s="518"/>
      <c r="P652" s="51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กำแพงเพชร!J653+เชียงราย!J653+เชียงใหม่!J653+ตาก!J653+นครสวรรค์!J653+น่าน!J653+พะเยา!J653+พิจิตร!J653+พิษณุโลก!J653+เพชรบูรณ์!J653+แพร่!J653+แม่ฮ่องสอน!J653+ลำปาง!J653+ลำพูน!J653+สุโขทัย!J653+อุตรดิตถ์!J653+อุทัยธานี!J653</f>
        <v>820</v>
      </c>
      <c r="K653" s="536"/>
      <c r="L653" s="528"/>
      <c r="M653" s="520"/>
      <c r="N653" s="528"/>
      <c r="O653" s="518"/>
      <c r="P653" s="51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กำแพงเพชร!J655+เชียงราย!J655+เชียงใหม่!J655+ตาก!J655+นครสวรรค์!J655+น่าน!J655+พะเยา!J655+พิจิตร!J655+พิษณุโลก!J655+เพชรบูรณ์!J655+แพร่!J655+แม่ฮ่องสอน!J655+ลำปาง!J655+ลำพูน!J655+สุโขทัย!J655+อุตรดิตถ์!J655+อุทัยธานี!J655</f>
        <v>38</v>
      </c>
      <c r="K655" s="536"/>
      <c r="L655" s="528"/>
      <c r="M655" s="520"/>
      <c r="N655" s="528"/>
      <c r="O655" s="518"/>
      <c r="P655" s="51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กำแพงเพชร!J656+เชียงราย!J656+เชียงใหม่!J656+ตาก!J656+นครสวรรค์!J656+น่าน!J656+พะเยา!J656+พิจิตร!J656+พิษณุโลก!J656+เพชรบูรณ์!J656+แพร่!J656+แม่ฮ่องสอน!J656+ลำปาง!J656+ลำพูน!J656+สุโขทัย!J656+อุตรดิตถ์!J656+อุทัยธานี!J656</f>
        <v>40</v>
      </c>
      <c r="K656" s="536"/>
      <c r="L656" s="528"/>
      <c r="M656" s="520"/>
      <c r="N656" s="528"/>
      <c r="O656" s="518"/>
      <c r="P656" s="51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กำแพงเพชร!J657+เชียงราย!J657+เชียงใหม่!J657+ตาก!J657+นครสวรรค์!J657+น่าน!J657+พะเยา!J657+พิจิตร!J657+พิษณุโลก!J657+เพชรบูรณ์!J657+แพร่!J657+แม่ฮ่องสอน!J657+ลำปาง!J657+ลำพูน!J657+สุโขทัย!J657+อุตรดิตถ์!J657+อุทัยธานี!J657</f>
        <v>820</v>
      </c>
      <c r="K657" s="536"/>
      <c r="L657" s="528"/>
      <c r="M657" s="520"/>
      <c r="N657" s="528"/>
      <c r="O657" s="518"/>
      <c r="P657" s="51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กำแพงเพชร!J658+เชียงราย!J658+เชียงใหม่!J658+ตาก!J658+นครสวรรค์!J658+น่าน!J658+พะเยา!J658+พิจิตร!J658+พิษณุโลก!J658+เพชรบูรณ์!J658+แพร่!J658+แม่ฮ่องสอน!J658+ลำปาง!J658+ลำพูน!J658+สุโขทัย!J658+อุตรดิตถ์!J658+อุทัยธานี!J658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กำแพงเพชร!J659+เชียงราย!J659+เชียงใหม่!J659+ตาก!J659+นครสวรรค์!J659+น่าน!J659+พะเยา!J659+พิจิตร!J659+พิษณุโลก!J659+เพชรบูรณ์!J659+แพร่!J659+แม่ฮ่องสอน!J659+ลำปาง!J659+ลำพูน!J659+สุโขทัย!J659+อุตรดิตถ์!J659+อุทัยธานี!J659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กำแพงเพชร!J660+เชียงราย!J660+เชียงใหม่!J660+ตาก!J660+นครสวรรค์!J660+น่าน!J660+พะเยา!J660+พิจิตร!J660+พิษณุโลก!J660+เพชรบูรณ์!J660+แพร่!J660+แม่ฮ่องสอน!J660+ลำปาง!J660+ลำพูน!J660+สุโขทัย!J660+อุตรดิตถ์!J660+อุทัยธานี!J660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5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กำแพงเพชร!J661+เชียงราย!J661+เชียงใหม่!J661+ตาก!J661+นครสวรรค์!J661+น่าน!J661+พะเยา!J661+พิจิตร!J661+พิษณุโลก!J661+เพชรบูรณ์!J661+แพร่!J661+แม่ฮ่องสอน!J661+ลำปาง!J661+ลำพูน!J661+สุโขทัย!J661+อุตรดิตถ์!J661+อุทัยธานี!J661</f>
        <v>71</v>
      </c>
      <c r="K661" s="536"/>
      <c r="L661" s="521">
        <f ca="1">กำแพงเพชร!L661+เชียงราย!L661+เชียงใหม่!L661+ตาก!L661+นครสวรรค์!L661+น่าน!L661+พะเยา!L661+พิจิตร!L661+พิษณุโลก!L661+เพชรบูรณ์!L661+แพร่!L661+แม่ฮ่องสอน!L661+ลำปาง!L661+ลำพูน!L661+สุโขทัย!L661+อุตรดิตถ์!L661+อุทัยธานี!L661</f>
        <v>167080</v>
      </c>
      <c r="M661" s="520"/>
      <c r="N661" s="537">
        <f ca="1">กำแพงเพชร!N661+เชียงราย!N661+เชียงใหม่!N661+ตาก!N661+นครสวรรค์!N661+น่าน!N661+พะเยา!N661+พิจิตร!N661+พิษณุโลก!N661+เพชรบูรณ์!N661+แพร่!N661+แม่ฮ่องสอน!N661+ลำปาง!N661+ลำพูน!N661+สุโขทัย!N661+อุตรดิตถ์!N661+อุทัยธานี!N661</f>
        <v>17850</v>
      </c>
      <c r="O661" s="536">
        <f ca="1">IF(L661&gt;0,N661*100/L661,0)</f>
        <v>10.683504907828585</v>
      </c>
      <c r="P661" s="536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กำแพงเพชร!J662+เชียงราย!J662+เชียงใหม่!J662+ตาก!J662+นครสวรรค์!J662+น่าน!J662+พะเยา!J662+พิจิตร!J662+พิษณุโลก!J662+เพชรบูรณ์!J662+แพร่!J662+แม่ฮ่องสอน!J662+ลำปาง!J662+ลำพูน!J662+สุโขทัย!J662+อุตรดิตถ์!J662+อุทัยธานี!J662</f>
        <v>76</v>
      </c>
      <c r="K662" s="536"/>
      <c r="L662" s="528"/>
      <c r="M662" s="520"/>
      <c r="N662" s="528"/>
      <c r="O662" s="518"/>
      <c r="P662" s="51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กำแพงเพชร!I663+เชียงราย!I663+เชียงใหม่!I663+ตาก!I663+นครสวรรค์!I663+น่าน!I663+พะเยา!I663+พิจิตร!I663+พิษณุโลก!I663+เพชรบูรณ์!I663+แพร่!I663+แม่ฮ่องสอน!I663+ลำปาง!I663+ลำพูน!I663+สุโขทัย!I663+อุตรดิตถ์!I663+อุทัยธานี!I663</f>
        <v>4177</v>
      </c>
      <c r="J663" s="535">
        <f ca="1">กำแพงเพชร!J663+เชียงราย!J663+เชียงใหม่!J663+ตาก!J663+นครสวรรค์!J663+น่าน!J663+พะเยา!J663+พิจิตร!J663+พิษณุโลก!J663+เพชรบูรณ์!J663+แพร่!J663+แม่ฮ่องสอน!J663+ลำปาง!J663+ลำพูน!J663+สุโขทัย!J663+อุตรดิตถ์!J663+อุทัยธานี!J663</f>
        <v>1345.6799999999998</v>
      </c>
      <c r="K663" s="536">
        <f ca="1">IF(I663&gt;0,J663*100/I663,0)</f>
        <v>32.216423270289674</v>
      </c>
      <c r="L663" s="528"/>
      <c r="M663" s="520"/>
      <c r="N663" s="528"/>
      <c r="O663" s="518"/>
      <c r="P663" s="518"/>
    </row>
    <row r="664" spans="1:16" ht="21.75" customHeight="1" x14ac:dyDescent="0.45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กำแพงเพชร!I665+เชียงราย!I665+เชียงใหม่!I665+ตาก!I665+นครสวรรค์!I665+น่าน!I665+พะเยา!I665+พิจิตร!I665+พิษณุโลก!I665+เพชรบูรณ์!I665+แพร่!I665+แม่ฮ่องสอน!I665+ลำปาง!I665+ลำพูน!I665+สุโขทัย!I665+อุตรดิตถ์!I665+อุทัยธานี!I665</f>
        <v>74</v>
      </c>
      <c r="J665" s="535">
        <f ca="1">กำแพงเพชร!J665+เชียงราย!J665+เชียงใหม่!J665+ตาก!J665+นครสวรรค์!J665+น่าน!J665+พะเยา!J665+พิจิตร!J665+พิษณุโลก!J665+เพชรบูรณ์!J665+แพร่!J665+แม่ฮ่องสอน!J665+ลำปาง!J665+ลำพูน!J665+สุโขทัย!J665+อุตรดิตถ์!J665+อุทัยธานี!J665</f>
        <v>4</v>
      </c>
      <c r="K665" s="536">
        <f ca="1">IF(I665&gt;0,J665*100/I665,0)</f>
        <v>5.4054054054054053</v>
      </c>
      <c r="L665" s="521">
        <f ca="1">กำแพงเพชร!L665+เชียงราย!L665+เชียงใหม่!L665+ตาก!L665+นครสวรรค์!L665+น่าน!L665+พะเยา!L665+พิจิตร!L665+พิษณุโลก!L665+เพชรบูรณ์!L665+แพร่!L665+แม่ฮ่องสอน!L665+ลำปาง!L665+ลำพูน!L665+สุโขทัย!L665+อุตรดิตถ์!L665+อุทัยธานี!L665</f>
        <v>8880</v>
      </c>
      <c r="M665" s="520"/>
      <c r="N665" s="537">
        <f ca="1">กำแพงเพชร!N665+เชียงราย!N665+เชียงใหม่!N665+ตาก!N665+นครสวรรค์!N665+น่าน!N665+พะเยา!N665+พิจิตร!N665+พิษณุโลก!N665+เพชรบูรณ์!N665+แพร่!N665+แม่ฮ่องสอน!N665+ลำปาง!N665+ลำพูน!N665+สุโขทัย!N665+อุตรดิตถ์!N665+อุทัยธานี!N665</f>
        <v>0</v>
      </c>
      <c r="O665" s="536">
        <f ca="1">IF(L665&gt;0,N665*100/L665,0)</f>
        <v>0</v>
      </c>
      <c r="P665" s="536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กำแพงเพชร!J666+เชียงราย!J666+เชียงใหม่!J666+ตาก!J666+นครสวรรค์!J666+น่าน!J666+พะเยา!J666+พิจิตร!J666+พิษณุโลก!J666+เพชรบูรณ์!J666+แพร่!J666+แม่ฮ่องสอน!J666+ลำปาง!J666+ลำพูน!J666+สุโขทัย!J666+อุตรดิตถ์!J666+อุทัยธานี!J666</f>
        <v>4</v>
      </c>
      <c r="K666" s="536"/>
      <c r="L666" s="528"/>
      <c r="M666" s="520"/>
      <c r="N666" s="528"/>
      <c r="O666" s="518"/>
      <c r="P666" s="51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กำแพงเพชร!J667+เชียงราย!J667+เชียงใหม่!J667+ตาก!J667+นครสวรรค์!J667+น่าน!J667+พะเยา!J667+พิจิตร!J667+พิษณุโลก!J667+เพชรบูรณ์!J667+แพร่!J667+แม่ฮ่องสอน!J667+ลำปาง!J667+ลำพูน!J667+สุโขทัย!J667+อุตรดิตถ์!J667+อุทัยธานี!J667</f>
        <v>88.61</v>
      </c>
      <c r="K667" s="536"/>
      <c r="L667" s="528"/>
      <c r="M667" s="520"/>
      <c r="N667" s="528"/>
      <c r="O667" s="518"/>
      <c r="P667" s="51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กำแพงเพชร!I668+เชียงราย!I668+เชียงใหม่!I668+ตาก!I668+นครสวรรค์!I668+น่าน!I668+พะเยา!I668+พิจิตร!I668+พิษณุโลก!I668+เพชรบูรณ์!I668+แพร่!I668+แม่ฮ่องสอน!I668+ลำปาง!I668+ลำพูน!I668+สุโขทัย!I668+อุตรดิตถ์!I668+อุทัยธานี!I668</f>
        <v>13</v>
      </c>
      <c r="J668" s="535">
        <f ca="1">กำแพงเพชร!J668+เชียงราย!J668+เชียงใหม่!J668+ตาก!J668+นครสวรรค์!J668+น่าน!J668+พะเยา!J668+พิจิตร!J668+พิษณุโลก!J668+เพชรบูรณ์!J668+แพร่!J668+แม่ฮ่องสอน!J668+ลำปาง!J668+ลำพูน!J668+สุโขทัย!J668+อุตรดิตถ์!J668+อุทัยธานี!J668</f>
        <v>0</v>
      </c>
      <c r="K668" s="536">
        <f ca="1">IF(I668&gt;0,J668*100/I668,0)</f>
        <v>0</v>
      </c>
      <c r="L668" s="521">
        <f ca="1">กำแพงเพชร!L668+เชียงราย!L668+เชียงใหม่!L668+ตาก!L668+นครสวรรค์!L668+น่าน!L668+พะเยา!L668+พิจิตร!L668+พิษณุโลก!L668+เพชรบูรณ์!L668+แพร่!L668+แม่ฮ่องสอน!L668+ลำปาง!L668+ลำพูน!L668+สุโขทัย!L668+อุตรดิตถ์!L668+อุทัยธานี!L668</f>
        <v>12520</v>
      </c>
      <c r="M668" s="520"/>
      <c r="N668" s="537">
        <f ca="1">กำแพงเพชร!N668+เชียงราย!N668+เชียงใหม่!N668+ตาก!N668+นครสวรรค์!N668+น่าน!N668+พะเยา!N668+พิจิตร!N668+พิษณุโลก!N668+เพชรบูรณ์!N668+แพร่!N668+แม่ฮ่องสอน!N668+ลำปาง!N668+ลำพูน!N668+สุโขทัย!N668+อุตรดิตถ์!N668+อุทัยธานี!N668</f>
        <v>0</v>
      </c>
      <c r="O668" s="536">
        <f ca="1">IF(L668&gt;0,N668*100/L668,0)</f>
        <v>0</v>
      </c>
      <c r="P668" s="536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กำแพงเพชร!J669+เชียงราย!J669+เชียงใหม่!J669+ตาก!J669+นครสวรรค์!J669+น่าน!J669+พะเยา!J669+พิจิตร!J669+พิษณุโลก!J669+เพชรบูรณ์!J669+แพร่!J669+แม่ฮ่องสอน!J669+ลำปาง!J669+ลำพูน!J669+สุโขทัย!J669+อุตรดิตถ์!J669+อุทัยธานี!J669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กำแพงเพชร!J670+เชียงราย!J670+เชียงใหม่!J670+ตาก!J670+นครสวรรค์!J670+น่าน!J670+พะเยา!J670+พิจิตร!J670+พิษณุโลก!J670+เพชรบูรณ์!J670+แพร่!J670+แม่ฮ่องสอน!J670+ลำปาง!J670+ลำพูน!J670+สุโขทัย!J670+อุตรดิตถ์!J670+อุทัยธานี!J670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5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กำแพงเพชร!I671+เชียงราย!I671+เชียงใหม่!I671+ตาก!I671+นครสวรรค์!I671+น่าน!I671+พะเยา!I671+พิจิตร!I671+พิษณุโลก!I671+เพชรบูรณ์!I671+แพร่!I671+แม่ฮ่องสอน!I671+ลำปาง!I671+ลำพูน!I671+สุโขทัย!I671+อุตรดิตถ์!I671+อุทัยธานี!I671</f>
        <v>128</v>
      </c>
      <c r="J671" s="535">
        <f ca="1">J674+J677</f>
        <v>0</v>
      </c>
      <c r="K671" s="536">
        <f ca="1">IF(I671&gt;0,J671*100/I671,0)</f>
        <v>0</v>
      </c>
      <c r="L671" s="521">
        <f ca="1">กำแพงเพชร!L671+เชียงราย!L671+เชียงใหม่!L671+ตาก!L671+นครสวรรค์!L671+น่าน!L671+พะเยา!L671+พิจิตร!L671+พิษณุโลก!L671+เพชรบูรณ์!L671+แพร่!L671+แม่ฮ่องสอน!L671+ลำปาง!L671+ลำพูน!L671+สุโขทัย!L671+อุตรดิตถ์!L671+อุทัยธานี!L671</f>
        <v>10240</v>
      </c>
      <c r="M671" s="520"/>
      <c r="N671" s="537">
        <f ca="1">กำแพงเพชร!N671+เชียงราย!N671+เชียงใหม่!N671+ตาก!N671+นครสวรรค์!N671+น่าน!N671+พะเยา!N671+พิจิตร!N671+พิษณุโลก!N671+เพชรบูรณ์!N671+แพร่!N671+แม่ฮ่องสอน!N671+ลำปาง!N671+ลำพูน!N671+สุโขทัย!N671+อุตรดิตถ์!N671+อุทัยธานี!N671</f>
        <v>0</v>
      </c>
      <c r="O671" s="536">
        <f ca="1">IF(L671&gt;0,N671*100/L671,0)</f>
        <v>0</v>
      </c>
      <c r="P671" s="536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กำแพงเพชร!J672+เชียงราย!J672+เชียงใหม่!J672+ตาก!J672+นครสวรรค์!J672+น่าน!J672+พะเยา!J672+พิจิตร!J672+พิษณุโลก!J672+เพชรบูรณ์!J672+แพร่!J672+แม่ฮ่องสอน!J672+ลำปาง!J672+ลำพูน!J672+สุโขทัย!J672+อุตรดิตถ์!J672+อุทัยธานี!J672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กำแพงเพชร!J673+เชียงราย!J673+เชียงใหม่!J673+ตาก!J673+นครสวรรค์!J673+น่าน!J673+พะเยา!J673+พิจิตร!J673+พิษณุโลก!J673+เพชรบูรณ์!J673+แพร่!J673+แม่ฮ่องสอน!J673+ลำปาง!J673+ลำพูน!J673+สุโขทัย!J673+อุตรดิตถ์!J673+อุทัยธานี!J673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กำแพงเพชร!J674+เชียงราย!J674+เชียงใหม่!J674+ตาก!J674+นครสวรรค์!J674+น่าน!J674+พะเยา!J674+พิจิตร!J674+พิษณุโลก!J674+เพชรบูรณ์!J674+แพร่!J674+แม่ฮ่องสอน!J674+ลำปาง!J674+ลำพูน!J674+สุโขทัย!J674+อุตรดิตถ์!J674+อุทัยธานี!J674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กำแพงเพชร!J675+เชียงราย!J675+เชียงใหม่!J675+ตาก!J675+นครสวรรค์!J675+น่าน!J675+พะเยา!J675+พิจิตร!J675+พิษณุโลก!J675+เพชรบูรณ์!J675+แพร่!J675+แม่ฮ่องสอน!J675+ลำปาง!J675+ลำพูน!J675+สุโขทัย!J675+อุตรดิตถ์!J675+อุทัยธานี!J675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กำแพงเพชร!J676+เชียงราย!J676+เชียงใหม่!J676+ตาก!J676+นครสวรรค์!J676+น่าน!J676+พะเยา!J676+พิจิตร!J676+พิษณุโลก!J676+เพชรบูรณ์!J676+แพร่!J676+แม่ฮ่องสอน!J676+ลำปาง!J676+ลำพูน!J676+สุโขทัย!J676+อุตรดิตถ์!J676+อุทัยธานี!J676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5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กำแพงเพชร!J677+เชียงราย!J677+เชียงใหม่!J677+ตาก!J677+นครสวรรค์!J677+น่าน!J677+พะเยา!J677+พิจิตร!J677+พิษณุโลก!J677+เพชรบูรณ์!J677+แพร่!J677+แม่ฮ่องสอน!J677+ลำปาง!J677+ลำพูน!J677+สุโขทัย!J677+อุตรดิตถ์!J677+อุทัยธานี!J677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61">
    <mergeCell ref="A1:P1"/>
    <mergeCell ref="A2:P2"/>
    <mergeCell ref="A3:P3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35">
      <c r="A2" s="577" t="s">
        <v>276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3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6983269</v>
      </c>
      <c r="M8" s="23">
        <f t="shared" ca="1" si="0"/>
        <v>3537427</v>
      </c>
      <c r="N8" s="23">
        <f t="shared" ca="1" si="0"/>
        <v>3471332.51</v>
      </c>
      <c r="O8" s="22">
        <f t="shared" ref="O8:O16" ca="1" si="1">IF(L8&gt;0,N8*100/L8,0)</f>
        <v>49.709276701212566</v>
      </c>
      <c r="P8" s="22">
        <f t="shared" ref="P8:P16" ca="1" si="2">IF(M8&gt;0,N8*100/M8,0)</f>
        <v>98.131565965884249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6983269</v>
      </c>
      <c r="M10" s="30">
        <f t="shared" ca="1" si="4"/>
        <v>3537427</v>
      </c>
      <c r="N10" s="30">
        <f t="shared" ca="1" si="4"/>
        <v>3471332.51</v>
      </c>
      <c r="O10" s="29">
        <f t="shared" ca="1" si="1"/>
        <v>49.709276701212566</v>
      </c>
      <c r="P10" s="29">
        <f t="shared" ca="1" si="2"/>
        <v>98.131565965884249</v>
      </c>
    </row>
    <row r="11" spans="1:16" ht="21.75" customHeight="1" x14ac:dyDescent="0.45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6908269</v>
      </c>
      <c r="M12" s="39">
        <f t="shared" ca="1" si="6"/>
        <v>3462427</v>
      </c>
      <c r="N12" s="39">
        <f t="shared" ca="1" si="6"/>
        <v>3396332.51</v>
      </c>
      <c r="O12" s="39">
        <f t="shared" ca="1" si="1"/>
        <v>49.163292714860987</v>
      </c>
      <c r="P12" s="39">
        <f t="shared" ca="1" si="2"/>
        <v>98.091093617280592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2200100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4708169</v>
      </c>
      <c r="M14" s="39">
        <f t="shared" si="8"/>
        <v>0</v>
      </c>
      <c r="N14" s="39">
        <f t="shared" ca="1" si="8"/>
        <v>724771.69</v>
      </c>
      <c r="O14" s="39">
        <f t="shared" ca="1" si="1"/>
        <v>15.393918315166681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75000</v>
      </c>
      <c r="M16" s="39">
        <f t="shared" ca="1" si="10"/>
        <v>75000</v>
      </c>
      <c r="N16" s="39">
        <f t="shared" ca="1" si="10"/>
        <v>75000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4241230</v>
      </c>
      <c r="M18" s="23">
        <f t="shared" ca="1" si="11"/>
        <v>3537427</v>
      </c>
      <c r="N18" s="23">
        <f t="shared" ca="1" si="11"/>
        <v>2746560.82</v>
      </c>
      <c r="O18" s="22">
        <f t="shared" ref="O18:O20" ca="1" si="12">IF(L18&gt;0,N18*100/L18,0)</f>
        <v>64.758591729286081</v>
      </c>
      <c r="P18" s="22">
        <f t="shared" ref="P18:P26" ca="1" si="13">IF(M18&gt;0,N18*100/M18,0)</f>
        <v>77.642897507142905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4241230</v>
      </c>
      <c r="M20" s="30">
        <f t="shared" ca="1" si="15"/>
        <v>3537427</v>
      </c>
      <c r="N20" s="30">
        <f t="shared" ca="1" si="15"/>
        <v>2746560.82</v>
      </c>
      <c r="O20" s="29">
        <f t="shared" ca="1" si="12"/>
        <v>64.758591729286081</v>
      </c>
      <c r="P20" s="29">
        <f t="shared" ca="1" si="13"/>
        <v>77.642897507142905</v>
      </c>
    </row>
    <row r="21" spans="1:16" ht="21.75" customHeight="1" x14ac:dyDescent="0.45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4166230</v>
      </c>
      <c r="M22" s="42">
        <f t="shared" ca="1" si="18"/>
        <v>3462427</v>
      </c>
      <c r="N22" s="39">
        <f t="shared" ca="1" si="18"/>
        <v>2671560.8199999998</v>
      </c>
      <c r="O22" s="39">
        <f t="shared" ca="1" si="17"/>
        <v>64.124179894052887</v>
      </c>
      <c r="P22" s="39">
        <f t="shared" ca="1" si="13"/>
        <v>77.158617928984484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2200100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1966130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75000</v>
      </c>
      <c r="M26" s="50">
        <f t="shared" ca="1" si="22"/>
        <v>75000</v>
      </c>
      <c r="N26" s="50">
        <f t="shared" ca="1" si="22"/>
        <v>75000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2742039</v>
      </c>
      <c r="M28" s="23">
        <f t="shared" si="23"/>
        <v>0</v>
      </c>
      <c r="N28" s="23">
        <f t="shared" ca="1" si="23"/>
        <v>724771.69</v>
      </c>
      <c r="O28" s="22">
        <f t="shared" ref="O28:O30" ca="1" si="24">IF(L28&gt;0,N28*100/L28,0)</f>
        <v>26.431851990434854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2742039</v>
      </c>
      <c r="M30" s="30">
        <f t="shared" si="27"/>
        <v>0</v>
      </c>
      <c r="N30" s="30">
        <f t="shared" ca="1" si="27"/>
        <v>724771.69</v>
      </c>
      <c r="O30" s="29">
        <f t="shared" ca="1" si="24"/>
        <v>26.431851990434854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2742039</v>
      </c>
      <c r="M32" s="39">
        <f t="shared" si="30"/>
        <v>0</v>
      </c>
      <c r="N32" s="39">
        <f t="shared" ca="1" si="30"/>
        <v>724771.69</v>
      </c>
      <c r="O32" s="39">
        <f t="shared" ca="1" si="29"/>
        <v>26.431851990434854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2742039</v>
      </c>
      <c r="M34" s="39">
        <f t="shared" si="32"/>
        <v>0</v>
      </c>
      <c r="N34" s="39">
        <f t="shared" ca="1" si="32"/>
        <v>724771.69</v>
      </c>
      <c r="O34" s="39">
        <f t="shared" ca="1" si="29"/>
        <v>26.431851990434854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4241230</v>
      </c>
      <c r="M37" s="55">
        <f t="shared" ca="1" si="33"/>
        <v>3537427</v>
      </c>
      <c r="N37" s="55">
        <f t="shared" ca="1" si="33"/>
        <v>2746560.82</v>
      </c>
      <c r="O37" s="56">
        <f t="shared" ca="1" si="29"/>
        <v>64.758591729286081</v>
      </c>
      <c r="P37" s="56">
        <f t="shared" ca="1" si="25"/>
        <v>77.642897507142905</v>
      </c>
    </row>
    <row r="38" spans="1:16" ht="21.75" customHeight="1" x14ac:dyDescent="0.45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1038100</v>
      </c>
      <c r="M41" s="79">
        <f t="shared" ca="1" si="34"/>
        <v>778600</v>
      </c>
      <c r="N41" s="79">
        <f t="shared" ca="1" si="34"/>
        <v>704353.7</v>
      </c>
      <c r="O41" s="78">
        <f t="shared" ref="O41:O43" ca="1" si="35">IF(L41&gt;0,N41*100/L41,0)</f>
        <v>67.85027454002504</v>
      </c>
      <c r="P41" s="78">
        <f t="shared" ref="P41:P43" ca="1" si="36">IF(M41&gt;0,N41*100/M41,0)</f>
        <v>90.464127921911128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1038100</v>
      </c>
      <c r="M43" s="79">
        <f t="shared" ca="1" si="38"/>
        <v>778600</v>
      </c>
      <c r="N43" s="79">
        <f t="shared" ca="1" si="38"/>
        <v>704353.7</v>
      </c>
      <c r="O43" s="78">
        <f t="shared" ca="1" si="35"/>
        <v>67.85027454002504</v>
      </c>
      <c r="P43" s="78">
        <f t="shared" ca="1" si="36"/>
        <v>90.464127921911128</v>
      </c>
    </row>
    <row r="44" spans="1:16" ht="21.75" customHeight="1" x14ac:dyDescent="0.45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1038100</v>
      </c>
      <c r="M45" s="50">
        <f ca="1">IFERROR(__xludf.DUMMYFUNCTION("IMPORTRANGE(""https://docs.google.com/spreadsheets/d/1Yj_ptqi66GCucihVvJfMjLAmec39IyEx_6qawtMGysU/edit?usp=sharing"",""สบก!Q28"")"),778600)</f>
        <v>778600</v>
      </c>
      <c r="N45" s="50">
        <f ca="1">IFERROR(__xludf.DUMMYFUNCTION("IMPORTRANGE(""https://docs.google.com/spreadsheets/d/1Yj_ptqi66GCucihVvJfMjLAmec39IyEx_6qawtMGysU/edit?usp=sharing"",""สบก!R28"")"),704353.7)</f>
        <v>704353.7</v>
      </c>
      <c r="O45" s="39">
        <f ca="1">IF(L45&gt;0,N45*100/L45,0)</f>
        <v>67.85027454002504</v>
      </c>
      <c r="P45" s="39">
        <f ca="1">IF(M45&gt;0,N45*100/M45,0)</f>
        <v>90.464127921911128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IFERROR(__xludf.DUMMYFUNCTION("IMPORTRANGE(""https://docs.google.com/spreadsheets/d/1Yj_ptqi66GCucihVvJfMjLAmec39IyEx_6qawtMGysU/edit?usp=sharing"",""สบก!M28"")"),1038100)</f>
        <v>1038100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IFERROR(__xludf.DUMMYFUNCTION("IMPORTRANGE(""https://docs.google.com/spreadsheets/d/1Yj_ptqi66GCucihVvJfMjLAmec39IyEx_6qawtMGysU/edit?usp=sharing"",""สบก!N28"")"),0)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IFERROR(__xludf.DUMMYFUNCTION("IMPORTRANGE(""https://docs.google.com/spreadsheets/d/1Yj_ptqi66GCucihVvJfMjLAmec39IyEx_6qawtMGysU/edit?usp=sharing"",""สบก!O28"")"),0)</f>
        <v>0</v>
      </c>
      <c r="M49" s="50"/>
      <c r="N49" s="50">
        <f ca="1">IFERROR(__xludf.DUMMYFUNCTION("IMPORTRANGE(""https://docs.google.com/spreadsheets/d/1Yj_ptqi66GCucihVvJfMjLAmec39IyEx_6qawtMGysU/edit?usp=sharing"",""สบก!S28"")"),0)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328802</v>
      </c>
      <c r="N53" s="121">
        <f t="shared" ca="1" si="39"/>
        <v>324003.3</v>
      </c>
      <c r="O53" s="120">
        <f t="shared" ref="O53:O55" ca="1" si="40">IF(L53&gt;0,N53*100/L53,0)</f>
        <v>81.000825000000006</v>
      </c>
      <c r="P53" s="120">
        <f t="shared" ref="P53:P55" ca="1" si="41">IF(M53&gt;0,N53*100/M53,0)</f>
        <v>98.540550239962045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328802</v>
      </c>
      <c r="N55" s="121">
        <f t="shared" ca="1" si="43"/>
        <v>324003.3</v>
      </c>
      <c r="O55" s="120">
        <f t="shared" ca="1" si="40"/>
        <v>81.000825000000006</v>
      </c>
      <c r="P55" s="120">
        <f t="shared" ca="1" si="41"/>
        <v>98.540550239962045</v>
      </c>
    </row>
    <row r="56" spans="1:16" ht="21.75" customHeight="1" x14ac:dyDescent="0.45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IFERROR(__xludf.DUMMYFUNCTION("IMPORTRANGE(""https://docs.google.com/spreadsheets/d/1Yj_ptqi66GCucihVvJfMjLAmec39IyEx_6qawtMGysU/edit?usp=sharing"",""สบก!Z28"")"),328802)</f>
        <v>328802</v>
      </c>
      <c r="N57" s="50">
        <f ca="1">IFERROR(__xludf.DUMMYFUNCTION("IMPORTRANGE(""https://docs.google.com/spreadsheets/d/1Yj_ptqi66GCucihVvJfMjLAmec39IyEx_6qawtMGysU/edit?usp=sharing"",""สบก!AA28"")"),324003.3)</f>
        <v>324003.3</v>
      </c>
      <c r="O57" s="39">
        <f ca="1">IF(L57&gt;0,N57*100/L57,0)</f>
        <v>81.000825000000006</v>
      </c>
      <c r="P57" s="39">
        <f ca="1">IF(M57&gt;0,N57*100/M57,0)</f>
        <v>98.540550239962045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IFERROR(__xludf.DUMMYFUNCTION("IMPORTRANGE(""https://docs.google.com/spreadsheets/d/1Yj_ptqi66GCucihVvJfMjLAmec39IyEx_6qawtMGysU/edit?usp=sharing"",""สบก!V28"")"),400000)</f>
        <v>400000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IFERROR(__xludf.DUMMYFUNCTION("IMPORTRANGE(""https://docs.google.com/spreadsheets/d/1Yj_ptqi66GCucihVvJfMjLAmec39IyEx_6qawtMGysU/edit?usp=sharing"",""สบก!W28"")"),0)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IFERROR(__xludf.DUMMYFUNCTION("IMPORTRANGE(""https://docs.google.com/spreadsheets/d/1Yj_ptqi66GCucihVvJfMjLAmec39IyEx_6qawtMGysU/edit?usp=sharing"",""สบก!X28"")"),0)</f>
        <v>0</v>
      </c>
      <c r="M61" s="50"/>
      <c r="N61" s="50">
        <f ca="1">IFERROR(__xludf.DUMMYFUNCTION("IMPORTRANGE(""https://docs.google.com/spreadsheets/d/1Yj_ptqi66GCucihVvJfMjLAmec39IyEx_6qawtMGysU/edit?usp=sharing"",""สบก!AB28"")"),0)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IFERROR(__xludf.DUMMYFUNCTION("IMPORTRANGE(""https://docs.google.com/spreadsheets/d/11923uPwbBZFjjGgGUA6NLw09EwE0CqkOc4q9oUmW1yo/edit?usp=sharing"",""พิษณุโลก!I9"")"),3)</f>
        <v>3</v>
      </c>
      <c r="J64" s="142">
        <f ca="1">IFERROR(__xludf.DUMMYFUNCTION("IMPORTRANGE(""https://docs.google.com/spreadsheets/d/11923uPwbBZFjjGgGUA6NLw09EwE0CqkOc4q9oUmW1yo/edit?usp=sharing"",""พิษณุโลก!J9"")"),3)</f>
        <v>3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IFERROR(__xludf.DUMMYFUNCTION("IMPORTRANGE(""https://docs.google.com/spreadsheets/d/11923uPwbBZFjjGgGUA6NLw09EwE0CqkOc4q9oUmW1yo/edit?usp=sharing"",""พิษณุโลก!I10"")"),188)</f>
        <v>188</v>
      </c>
      <c r="J65" s="142">
        <f ca="1">IFERROR(__xludf.DUMMYFUNCTION("IMPORTRANGE(""https://docs.google.com/spreadsheets/d/11923uPwbBZFjjGgGUA6NLw09EwE0CqkOc4q9oUmW1yo/edit?usp=sharing"",""พิษณุโลก!J10"")"),188)</f>
        <v>188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1706600</v>
      </c>
      <c r="M66" s="152">
        <f t="shared" ca="1" si="45"/>
        <v>1523980</v>
      </c>
      <c r="N66" s="152">
        <f t="shared" ca="1" si="45"/>
        <v>970397.18</v>
      </c>
      <c r="O66" s="151">
        <f t="shared" ref="O66:O68" ca="1" si="46">IF(L66&gt;0,N66*100/L66,0)</f>
        <v>56.861430915270127</v>
      </c>
      <c r="P66" s="151">
        <f t="shared" ref="P66:P68" ca="1" si="47">IF(M66&gt;0,N66*100/M66,0)</f>
        <v>63.67519127547606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1706600</v>
      </c>
      <c r="M68" s="88">
        <f t="shared" ca="1" si="49"/>
        <v>1523980</v>
      </c>
      <c r="N68" s="88">
        <f t="shared" ca="1" si="49"/>
        <v>970397.18</v>
      </c>
      <c r="O68" s="156">
        <f t="shared" ca="1" si="46"/>
        <v>56.861430915270127</v>
      </c>
      <c r="P68" s="156">
        <f t="shared" ca="1" si="47"/>
        <v>63.67519127547606</v>
      </c>
    </row>
    <row r="69" spans="1:16" ht="21.75" customHeight="1" x14ac:dyDescent="0.45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1646600</v>
      </c>
      <c r="M70" s="167">
        <f ca="1">IFERROR(__xludf.DUMMYFUNCTION("IMPORTRANGE(""https://docs.google.com/spreadsheets/d/1Yj_ptqi66GCucihVvJfMjLAmec39IyEx_6qawtMGysU/edit?usp=sharing"",""สบก!AI28"")"),1463980)</f>
        <v>1463980</v>
      </c>
      <c r="N70" s="168">
        <f ca="1">IFERROR(__xludf.DUMMYFUNCTION("IMPORTRANGE(""https://docs.google.com/spreadsheets/d/1Yj_ptqi66GCucihVvJfMjLAmec39IyEx_6qawtMGysU/edit?usp=sharing"",""สบก!AJ28"")"),910397.18)</f>
        <v>910397.18</v>
      </c>
      <c r="O70" s="168">
        <f ca="1">IF(L70&gt;0,N70*100/L70,0)</f>
        <v>55.289516579618606</v>
      </c>
      <c r="P70" s="168">
        <f ca="1">IF(M70&gt;0,N70*100/M70,0)</f>
        <v>62.186449268432632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IFERROR(__xludf.DUMMYFUNCTION("IMPORTRANGE(""https://docs.google.com/spreadsheets/d/1Yj_ptqi66GCucihVvJfMjLAmec39IyEx_6qawtMGysU/edit?usp=sharing"",""สบก!AE28"")"),192000)</f>
        <v>192000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IFERROR(__xludf.DUMMYFUNCTION("IMPORTRANGE(""https://docs.google.com/spreadsheets/d/1Yj_ptqi66GCucihVvJfMjLAmec39IyEx_6qawtMGysU/edit?usp=sharing"",""สบก!AF28"")"),1454600)</f>
        <v>1454600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IFERROR(__xludf.DUMMYFUNCTION("IMPORTRANGE(""https://docs.google.com/spreadsheets/d/1Yj_ptqi66GCucihVvJfMjLAmec39IyEx_6qawtMGysU/edit?usp=sharing"",""สบก!AG28"")"),60000)</f>
        <v>60000</v>
      </c>
      <c r="M74" s="50">
        <f ca="1">L74</f>
        <v>60000</v>
      </c>
      <c r="N74" s="50">
        <f ca="1">IFERROR(__xludf.DUMMYFUNCTION("IMPORTRANGE(""https://docs.google.com/spreadsheets/d/1Yj_ptqi66GCucihVvJfMjLAmec39IyEx_6qawtMGysU/edit?usp=sharing"",""สบก!AK28"")"),60000)</f>
        <v>60000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IFERROR(__xludf.DUMMYFUNCTION("IMPORTRANGE(""https://docs.google.com/spreadsheets/d/11923uPwbBZFjjGgGUA6NLw09EwE0CqkOc4q9oUmW1yo/edit?usp=sharing"",""พิษณุโลก!J16"")"),0)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IFERROR(__xludf.DUMMYFUNCTION("IMPORTRANGE(""https://docs.google.com/spreadsheets/d/11923uPwbBZFjjGgGUA6NLw09EwE0CqkOc4q9oUmW1yo/edit?usp=sharing"",""พิษณุโลก!J17"")"),1)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IFERROR(__xludf.DUMMYFUNCTION("IMPORTRANGE(""https://docs.google.com/spreadsheets/d/11923uPwbBZFjjGgGUA6NLw09EwE0CqkOc4q9oUmW1yo/edit?usp=sharing"",""พิษณุโลก!J18"")"),1)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IFERROR(__xludf.DUMMYFUNCTION("IMPORTRANGE(""https://docs.google.com/spreadsheets/d/11923uPwbBZFjjGgGUA6NLw09EwE0CqkOc4q9oUmW1yo/edit?usp=sharing"",""พิษณุโลก!J19"")"),1)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IFERROR(__xludf.DUMMYFUNCTION("IMPORTRANGE(""https://docs.google.com/spreadsheets/d/11923uPwbBZFjjGgGUA6NLw09EwE0CqkOc4q9oUmW1yo/edit?usp=sharing"",""พิษณุโลก!I20"")"),3)</f>
        <v>3</v>
      </c>
      <c r="J80" s="200">
        <f ca="1">IFERROR(__xludf.DUMMYFUNCTION("IMPORTRANGE(""https://docs.google.com/spreadsheets/d/11923uPwbBZFjjGgGUA6NLw09EwE0CqkOc4q9oUmW1yo/edit?usp=sharing"",""พิษณุโลก!J20"")"),3)</f>
        <v>3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IFERROR(__xludf.DUMMYFUNCTION("IMPORTRANGE(""https://docs.google.com/spreadsheets/d/11923uPwbBZFjjGgGUA6NLw09EwE0CqkOc4q9oUmW1yo/edit?usp=sharing"",""พิษณุโลก!I21"")"),188)</f>
        <v>188</v>
      </c>
      <c r="J81" s="200">
        <f ca="1">IFERROR(__xludf.DUMMYFUNCTION("IMPORTRANGE(""https://docs.google.com/spreadsheets/d/11923uPwbBZFjjGgGUA6NLw09EwE0CqkOc4q9oUmW1yo/edit?usp=sharing"",""พิษณุโลก!J21"")"),188)</f>
        <v>188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IFERROR(__xludf.DUMMYFUNCTION("IMPORTRANGE(""https://docs.google.com/spreadsheets/d/11923uPwbBZFjjGgGUA6NLw09EwE0CqkOc4q9oUmW1yo/edit?usp=sharing"",""พิษณุโลก!I22"")"),0)</f>
        <v>0</v>
      </c>
      <c r="J82" s="203">
        <f ca="1">IFERROR(__xludf.DUMMYFUNCTION("IMPORTRANGE(""https://docs.google.com/spreadsheets/d/11923uPwbBZFjjGgGUA6NLw09EwE0CqkOc4q9oUmW1yo/edit?usp=sharing"",""พิษณุโลก!J22"")"),0)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IFERROR(__xludf.DUMMYFUNCTION("IMPORTRANGE(""https://docs.google.com/spreadsheets/d/11923uPwbBZFjjGgGUA6NLw09EwE0CqkOc4q9oUmW1yo/edit?usp=sharing"",""พิษณุโลก!I23"")"),0)</f>
        <v>0</v>
      </c>
      <c r="J83" s="203">
        <f ca="1">IFERROR(__xludf.DUMMYFUNCTION("IMPORTRANGE(""https://docs.google.com/spreadsheets/d/11923uPwbBZFjjGgGUA6NLw09EwE0CqkOc4q9oUmW1yo/edit?usp=sharing"",""พิษณุโลก!J23"")"),0)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IFERROR(__xludf.DUMMYFUNCTION("IMPORTRANGE(""https://docs.google.com/spreadsheets/d/11923uPwbBZFjjGgGUA6NLw09EwE0CqkOc4q9oUmW1yo/edit?usp=sharing"",""พิษณุโลก!I24"")"),0)</f>
        <v>0</v>
      </c>
      <c r="J84" s="188">
        <f ca="1">IFERROR(__xludf.DUMMYFUNCTION("IMPORTRANGE(""https://docs.google.com/spreadsheets/d/11923uPwbBZFjjGgGUA6NLw09EwE0CqkOc4q9oUmW1yo/edit?usp=sharing"",""พิษณุโลก!J24"")"),0)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IFERROR(__xludf.DUMMYFUNCTION("IMPORTRANGE(""https://docs.google.com/spreadsheets/d/11923uPwbBZFjjGgGUA6NLw09EwE0CqkOc4q9oUmW1yo/edit?usp=sharing"",""พิษณุโลก!I25"")"),0)</f>
        <v>0</v>
      </c>
      <c r="J85" s="188">
        <f ca="1">IFERROR(__xludf.DUMMYFUNCTION("IMPORTRANGE(""https://docs.google.com/spreadsheets/d/11923uPwbBZFjjGgGUA6NLw09EwE0CqkOc4q9oUmW1yo/edit?usp=sharing"",""พิษณุโลก!J25"")"),0)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IFERROR(__xludf.DUMMYFUNCTION("IMPORTRANGE(""https://docs.google.com/spreadsheets/d/11923uPwbBZFjjGgGUA6NLw09EwE0CqkOc4q9oUmW1yo/edit?usp=sharing"",""พิษณุโลก!I26"")"),3)</f>
        <v>3</v>
      </c>
      <c r="J86" s="203">
        <f ca="1">IFERROR(__xludf.DUMMYFUNCTION("IMPORTRANGE(""https://docs.google.com/spreadsheets/d/11923uPwbBZFjjGgGUA6NLw09EwE0CqkOc4q9oUmW1yo/edit?usp=sharing"",""พิษณุโลก!J26"")"),3)</f>
        <v>3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IFERROR(__xludf.DUMMYFUNCTION("IMPORTRANGE(""https://docs.google.com/spreadsheets/d/11923uPwbBZFjjGgGUA6NLw09EwE0CqkOc4q9oUmW1yo/edit?usp=sharing"",""พิษณุโลก!I27"")"),188)</f>
        <v>188</v>
      </c>
      <c r="J87" s="203">
        <f ca="1">IFERROR(__xludf.DUMMYFUNCTION("IMPORTRANGE(""https://docs.google.com/spreadsheets/d/11923uPwbBZFjjGgGUA6NLw09EwE0CqkOc4q9oUmW1yo/edit?usp=sharing"",""พิษณุโลก!J27"")"),188)</f>
        <v>188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IFERROR(__xludf.DUMMYFUNCTION("IMPORTRANGE(""https://docs.google.com/spreadsheets/d/11923uPwbBZFjjGgGUA6NLw09EwE0CqkOc4q9oUmW1yo/edit?usp=sharing"",""พิษณุโลก!I28"")"),3)</f>
        <v>3</v>
      </c>
      <c r="J88" s="203">
        <f ca="1">IFERROR(__xludf.DUMMYFUNCTION("IMPORTRANGE(""https://docs.google.com/spreadsheets/d/11923uPwbBZFjjGgGUA6NLw09EwE0CqkOc4q9oUmW1yo/edit?usp=sharing"",""พิษณุโลก!J28"")"),0)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IFERROR(__xludf.DUMMYFUNCTION("IMPORTRANGE(""https://docs.google.com/spreadsheets/d/11923uPwbBZFjjGgGUA6NLw09EwE0CqkOc4q9oUmW1yo/edit?usp=sharing"",""พิษณุโลก!J29"")"),0)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IFERROR(__xludf.DUMMYFUNCTION("IMPORTRANGE(""https://docs.google.com/spreadsheets/d/11923uPwbBZFjjGgGUA6NLw09EwE0CqkOc4q9oUmW1yo/edit?usp=sharing"",""พิษณุโลก!J30"")"),0)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IFERROR(__xludf.DUMMYFUNCTION("IMPORTRANGE(""https://docs.google.com/spreadsheets/d/11923uPwbBZFjjGgGUA6NLw09EwE0CqkOc4q9oUmW1yo/edit?usp=sharing"",""พิษณุโลก!I32"")"),0)</f>
        <v>0</v>
      </c>
      <c r="J92" s="142">
        <f ca="1">IFERROR(__xludf.DUMMYFUNCTION("IMPORTRANGE(""https://docs.google.com/spreadsheets/d/11923uPwbBZFjjGgGUA6NLw09EwE0CqkOc4q9oUmW1yo/edit?usp=sharing"",""พิษณุโลก!J32"")"),0)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IFERROR(__xludf.DUMMYFUNCTION("IMPORTRANGE(""https://docs.google.com/spreadsheets/d/11923uPwbBZFjjGgGUA6NLw09EwE0CqkOc4q9oUmW1yo/edit?usp=sharing"",""พิษณุโลก!I33"")"),0)</f>
        <v>0</v>
      </c>
      <c r="J93" s="142">
        <f ca="1">IFERROR(__xludf.DUMMYFUNCTION("IMPORTRANGE(""https://docs.google.com/spreadsheets/d/11923uPwbBZFjjGgGUA6NLw09EwE0CqkOc4q9oUmW1yo/edit?usp=sharing"",""พิษณุโลก!J33"")"),0)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IFERROR(__xludf.DUMMYFUNCTION("IMPORTRANGE(""https://docs.google.com/spreadsheets/d/1Yj_ptqi66GCucihVvJfMjLAmec39IyEx_6qawtMGysU/edit?usp=sharing"",""สบก!AR28"")"),0)</f>
        <v>0</v>
      </c>
      <c r="N98" s="168">
        <f ca="1">IFERROR(__xludf.DUMMYFUNCTION("IMPORTRANGE(""https://docs.google.com/spreadsheets/d/1Yj_ptqi66GCucihVvJfMjLAmec39IyEx_6qawtMGysU/edit?usp=sharing"",""สบก!AS28"")"),0)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IFERROR(__xludf.DUMMYFUNCTION("IMPORTRANGE(""https://docs.google.com/spreadsheets/d/1Yj_ptqi66GCucihVvJfMjLAmec39IyEx_6qawtMGysU/edit?usp=sharing"",""สบก!AN28"")"),0)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IFERROR(__xludf.DUMMYFUNCTION("IMPORTRANGE(""https://docs.google.com/spreadsheets/d/1Yj_ptqi66GCucihVvJfMjLAmec39IyEx_6qawtMGysU/edit?usp=sharing"",""สบก!AO28"")"),0)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IFERROR(__xludf.DUMMYFUNCTION("IMPORTRANGE(""https://docs.google.com/spreadsheets/d/1Yj_ptqi66GCucihVvJfMjLAmec39IyEx_6qawtMGysU/edit?usp=sharing"",""สบก!AP28"")"),0)</f>
        <v>0</v>
      </c>
      <c r="M102" s="50"/>
      <c r="N102" s="50">
        <f ca="1">IFERROR(__xludf.DUMMYFUNCTION("IMPORTRANGE(""https://docs.google.com/spreadsheets/d/1Yj_ptqi66GCucihVvJfMjLAmec39IyEx_6qawtMGysU/edit?usp=sharing"",""สบก!AT28"")"),0)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IFERROR(__xludf.DUMMYFUNCTION("IMPORTRANGE(""https://docs.google.com/spreadsheets/d/11923uPwbBZFjjGgGUA6NLw09EwE0CqkOc4q9oUmW1yo/edit?usp=sharing"",""พิษณุโลก!J39"")"),0)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IFERROR(__xludf.DUMMYFUNCTION("IMPORTRANGE(""https://docs.google.com/spreadsheets/d/11923uPwbBZFjjGgGUA6NLw09EwE0CqkOc4q9oUmW1yo/edit?usp=sharing"",""พิษณุโลก!J40"")"),0)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IFERROR(__xludf.DUMMYFUNCTION("IMPORTRANGE(""https://docs.google.com/spreadsheets/d/11923uPwbBZFjjGgGUA6NLw09EwE0CqkOc4q9oUmW1yo/edit?usp=sharing"",""พิษณุโลก!J41"")"),0)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IFERROR(__xludf.DUMMYFUNCTION("IMPORTRANGE(""https://docs.google.com/spreadsheets/d/11923uPwbBZFjjGgGUA6NLw09EwE0CqkOc4q9oUmW1yo/edit?usp=sharing"",""พิษณุโลก!J42"")"),0)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IFERROR(__xludf.DUMMYFUNCTION("IMPORTRANGE(""https://docs.google.com/spreadsheets/d/11923uPwbBZFjjGgGUA6NLw09EwE0CqkOc4q9oUmW1yo/edit?usp=sharing"",""พิษณุโลก!I43"")"),0)</f>
        <v>0</v>
      </c>
      <c r="J108" s="203">
        <f ca="1">IFERROR(__xludf.DUMMYFUNCTION("IMPORTRANGE(""https://docs.google.com/spreadsheets/d/11923uPwbBZFjjGgGUA6NLw09EwE0CqkOc4q9oUmW1yo/edit?usp=sharing"",""พิษณุโลก!J43"")"),0)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IFERROR(__xludf.DUMMYFUNCTION("IMPORTRANGE(""https://docs.google.com/spreadsheets/d/11923uPwbBZFjjGgGUA6NLw09EwE0CqkOc4q9oUmW1yo/edit?usp=sharing"",""พิษณุโลก!I44"")"),0)</f>
        <v>0</v>
      </c>
      <c r="J109" s="203">
        <f ca="1">IFERROR(__xludf.DUMMYFUNCTION("IMPORTRANGE(""https://docs.google.com/spreadsheets/d/11923uPwbBZFjjGgGUA6NLw09EwE0CqkOc4q9oUmW1yo/edit?usp=sharing"",""พิษณุโลก!J44"")"),0)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IFERROR(__xludf.DUMMYFUNCTION("IMPORTRANGE(""https://docs.google.com/spreadsheets/d/11923uPwbBZFjjGgGUA6NLw09EwE0CqkOc4q9oUmW1yo/edit?usp=sharing"",""พิษณุโลก!I45"")"),0)</f>
        <v>0</v>
      </c>
      <c r="J110" s="203">
        <f ca="1">IFERROR(__xludf.DUMMYFUNCTION("IMPORTRANGE(""https://docs.google.com/spreadsheets/d/11923uPwbBZFjjGgGUA6NLw09EwE0CqkOc4q9oUmW1yo/edit?usp=sharing"",""พิษณุโลก!J45"")"),0)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IFERROR(__xludf.DUMMYFUNCTION("IMPORTRANGE(""https://docs.google.com/spreadsheets/d/11923uPwbBZFjjGgGUA6NLw09EwE0CqkOc4q9oUmW1yo/edit?usp=sharing"",""พิษณุโลก!I46"")"),0)</f>
        <v>0</v>
      </c>
      <c r="J111" s="203">
        <f ca="1">IFERROR(__xludf.DUMMYFUNCTION("IMPORTRANGE(""https://docs.google.com/spreadsheets/d/11923uPwbBZFjjGgGUA6NLw09EwE0CqkOc4q9oUmW1yo/edit?usp=sharing"",""พิษณุโลก!J46"")"),0)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IFERROR(__xludf.DUMMYFUNCTION("IMPORTRANGE(""https://docs.google.com/spreadsheets/d/11923uPwbBZFjjGgGUA6NLw09EwE0CqkOc4q9oUmW1yo/edit?usp=sharing"",""พิษณุโลก!I47"")"),0)</f>
        <v>0</v>
      </c>
      <c r="J112" s="203">
        <f ca="1">IFERROR(__xludf.DUMMYFUNCTION("IMPORTRANGE(""https://docs.google.com/spreadsheets/d/11923uPwbBZFjjGgGUA6NLw09EwE0CqkOc4q9oUmW1yo/edit?usp=sharing"",""พิษณุโลก!J47"")"),0)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IFERROR(__xludf.DUMMYFUNCTION("IMPORTRANGE(""https://docs.google.com/spreadsheets/d/11923uPwbBZFjjGgGUA6NLw09EwE0CqkOc4q9oUmW1yo/edit?usp=sharing"",""พิษณุโลก!I48"")"),0)</f>
        <v>0</v>
      </c>
      <c r="J113" s="203">
        <f ca="1">IFERROR(__xludf.DUMMYFUNCTION("IMPORTRANGE(""https://docs.google.com/spreadsheets/d/11923uPwbBZFjjGgGUA6NLw09EwE0CqkOc4q9oUmW1yo/edit?usp=sharing"",""พิษณุโลก!J48"")"),0)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IFERROR(__xludf.DUMMYFUNCTION("IMPORTRANGE(""https://docs.google.com/spreadsheets/d/11923uPwbBZFjjGgGUA6NLw09EwE0CqkOc4q9oUmW1yo/edit?usp=sharing"",""พิษณุโลก!J49"")"),0)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IFERROR(__xludf.DUMMYFUNCTION("IMPORTRANGE(""https://docs.google.com/spreadsheets/d/11923uPwbBZFjjGgGUA6NLw09EwE0CqkOc4q9oUmW1yo/edit?usp=sharing"",""พิษณุโลก!J50"")"),0)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IFERROR(__xludf.DUMMYFUNCTION("IMPORTRANGE(""https://docs.google.com/spreadsheets/d/11923uPwbBZFjjGgGUA6NLw09EwE0CqkOc4q9oUmW1yo/edit?usp=sharing"",""พิษณุโลก!I52"")"),0)</f>
        <v>0</v>
      </c>
      <c r="J117" s="142">
        <f ca="1">IFERROR(__xludf.DUMMYFUNCTION("IMPORTRANGE(""https://docs.google.com/spreadsheets/d/11923uPwbBZFjjGgGUA6NLw09EwE0CqkOc4q9oUmW1yo/edit?usp=sharing"",""พิษณุโลก!J52"")"),0)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IFERROR(__xludf.DUMMYFUNCTION("IMPORTRANGE(""https://docs.google.com/spreadsheets/d/1Yj_ptqi66GCucihVvJfMjLAmec39IyEx_6qawtMGysU/edit?usp=sharing"",""สบก!BA28"")"),0)</f>
        <v>0</v>
      </c>
      <c r="N122" s="168">
        <f ca="1">IFERROR(__xludf.DUMMYFUNCTION("IMPORTRANGE(""https://docs.google.com/spreadsheets/d/1Yj_ptqi66GCucihVvJfMjLAmec39IyEx_6qawtMGysU/edit?usp=sharing"",""สบก!BB28"")"),0)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IFERROR(__xludf.DUMMYFUNCTION("IMPORTRANGE(""https://docs.google.com/spreadsheets/d/1Yj_ptqi66GCucihVvJfMjLAmec39IyEx_6qawtMGysU/edit?usp=sharing"",""สบก!AW28"")"),0)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IFERROR(__xludf.DUMMYFUNCTION("IMPORTRANGE(""https://docs.google.com/spreadsheets/d/1Yj_ptqi66GCucihVvJfMjLAmec39IyEx_6qawtMGysU/edit?usp=sharing"",""สบก!AX28"")"),0)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IFERROR(__xludf.DUMMYFUNCTION("IMPORTRANGE(""https://docs.google.com/spreadsheets/d/1Yj_ptqi66GCucihVvJfMjLAmec39IyEx_6qawtMGysU/edit?usp=sharing"",""สบก!AY28"")"),0)</f>
        <v>0</v>
      </c>
      <c r="M126" s="50"/>
      <c r="N126" s="50">
        <f ca="1">IFERROR(__xludf.DUMMYFUNCTION("IMPORTRANGE(""https://docs.google.com/spreadsheets/d/1Yj_ptqi66GCucihVvJfMjLAmec39IyEx_6qawtMGysU/edit?usp=sharing"",""สบก!BC28"")"),0)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277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IFERROR(__xludf.DUMMYFUNCTION("IMPORTRANGE(""https://docs.google.com/spreadsheets/d/11923uPwbBZFjjGgGUA6NLw09EwE0CqkOc4q9oUmW1yo/edit?usp=sharing"",""พิษณุโลก!J58"")"),0)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IFERROR(__xludf.DUMMYFUNCTION("IMPORTRANGE(""https://docs.google.com/spreadsheets/d/11923uPwbBZFjjGgGUA6NLw09EwE0CqkOc4q9oUmW1yo/edit?usp=sharing"",""พิษณุโลก!J59"")"),0)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IFERROR(__xludf.DUMMYFUNCTION("IMPORTRANGE(""https://docs.google.com/spreadsheets/d/11923uPwbBZFjjGgGUA6NLw09EwE0CqkOc4q9oUmW1yo/edit?usp=sharing"",""พิษณุโลก!J60"")"),0)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IFERROR(__xludf.DUMMYFUNCTION("IMPORTRANGE(""https://docs.google.com/spreadsheets/d/11923uPwbBZFjjGgGUA6NLw09EwE0CqkOc4q9oUmW1yo/edit?usp=sharing"",""พิษณุโลก!J61"")"),0)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IFERROR(__xludf.DUMMYFUNCTION("IMPORTRANGE(""https://docs.google.com/spreadsheets/d/11923uPwbBZFjjGgGUA6NLw09EwE0CqkOc4q9oUmW1yo/edit?usp=sharing"",""พิษณุโลก!I62"")"),0)</f>
        <v>0</v>
      </c>
      <c r="J132" s="203">
        <f ca="1">IFERROR(__xludf.DUMMYFUNCTION("IMPORTRANGE(""https://docs.google.com/spreadsheets/d/11923uPwbBZFjjGgGUA6NLw09EwE0CqkOc4q9oUmW1yo/edit?usp=sharing"",""พิษณุโลก!J62"")"),0)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IFERROR(__xludf.DUMMYFUNCTION("IMPORTRANGE(""https://docs.google.com/spreadsheets/d/11923uPwbBZFjjGgGUA6NLw09EwE0CqkOc4q9oUmW1yo/edit?usp=sharing"",""พิษณุโลก!I63"")"),0)</f>
        <v>0</v>
      </c>
      <c r="J133" s="203">
        <f ca="1">IFERROR(__xludf.DUMMYFUNCTION("IMPORTRANGE(""https://docs.google.com/spreadsheets/d/11923uPwbBZFjjGgGUA6NLw09EwE0CqkOc4q9oUmW1yo/edit?usp=sharing"",""พิษณุโลก!J63"")"),0)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IFERROR(__xludf.DUMMYFUNCTION("IMPORTRANGE(""https://docs.google.com/spreadsheets/d/11923uPwbBZFjjGgGUA6NLw09EwE0CqkOc4q9oUmW1yo/edit?usp=sharing"",""พิษณุโลก!J64"")"),0)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IFERROR(__xludf.DUMMYFUNCTION("IMPORTRANGE(""https://docs.google.com/spreadsheets/d/11923uPwbBZFjjGgGUA6NLw09EwE0CqkOc4q9oUmW1yo/edit?usp=sharing"",""พิษณุโลก!J65"")"),0)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IFERROR(__xludf.DUMMYFUNCTION("IMPORTRANGE(""https://docs.google.com/spreadsheets/d/11923uPwbBZFjjGgGUA6NLw09EwE0CqkOc4q9oUmW1yo/edit?usp=sharing"",""พิษณุโลก!I68"")"),15)</f>
        <v>15</v>
      </c>
      <c r="J138" s="267">
        <f ca="1">IFERROR(__xludf.DUMMYFUNCTION("IMPORTRANGE(""https://docs.google.com/spreadsheets/d/11923uPwbBZFjjGgGUA6NLw09EwE0CqkOc4q9oUmW1yo/edit?usp=sharing"",""พิษณุโลก!J68"")"),15)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348000</v>
      </c>
      <c r="M140" s="152">
        <f t="shared" ca="1" si="64"/>
        <v>316225</v>
      </c>
      <c r="N140" s="152">
        <f t="shared" ca="1" si="64"/>
        <v>210475.55</v>
      </c>
      <c r="O140" s="151">
        <f t="shared" ref="O140:O142" ca="1" si="65">IF(L140&gt;0,N140*100/L140,0)</f>
        <v>60.481479885057475</v>
      </c>
      <c r="P140" s="151">
        <f t="shared" ref="P140:P142" ca="1" si="66">IF(M140&gt;0,N140*100/M140,0)</f>
        <v>66.558795161672862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348000</v>
      </c>
      <c r="M142" s="88">
        <f t="shared" ca="1" si="68"/>
        <v>316225</v>
      </c>
      <c r="N142" s="88">
        <f t="shared" ca="1" si="68"/>
        <v>210475.55</v>
      </c>
      <c r="O142" s="156">
        <f t="shared" ca="1" si="65"/>
        <v>60.481479885057475</v>
      </c>
      <c r="P142" s="156">
        <f t="shared" ca="1" si="66"/>
        <v>66.558795161672862</v>
      </c>
    </row>
    <row r="143" spans="1:16" ht="21.75" customHeight="1" x14ac:dyDescent="0.45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348000</v>
      </c>
      <c r="M144" s="167">
        <f ca="1">IFERROR(__xludf.DUMMYFUNCTION("IMPORTRANGE(""https://docs.google.com/spreadsheets/d/1Yj_ptqi66GCucihVvJfMjLAmec39IyEx_6qawtMGysU/edit?usp=sharing"",""สบก!BJ28"")"),316225)</f>
        <v>316225</v>
      </c>
      <c r="N144" s="168">
        <f ca="1">IFERROR(__xludf.DUMMYFUNCTION("IMPORTRANGE(""https://docs.google.com/spreadsheets/d/1Yj_ptqi66GCucihVvJfMjLAmec39IyEx_6qawtMGysU/edit?usp=sharing"",""สบก!BK28"")"),210475.55)</f>
        <v>210475.55</v>
      </c>
      <c r="O144" s="168">
        <f ca="1">IF(L144&gt;0,N144*100/L144,0)</f>
        <v>60.481479885057475</v>
      </c>
      <c r="P144" s="168">
        <f ca="1">IF(M144&gt;0,N144*100/M144,0)</f>
        <v>66.558795161672862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IFERROR(__xludf.DUMMYFUNCTION("IMPORTRANGE(""https://docs.google.com/spreadsheets/d/1Yj_ptqi66GCucihVvJfMjLAmec39IyEx_6qawtMGysU/edit?usp=sharing"",""สบก!BF28"")"),264000)</f>
        <v>264000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IFERROR(__xludf.DUMMYFUNCTION("IMPORTRANGE(""https://docs.google.com/spreadsheets/d/1Yj_ptqi66GCucihVvJfMjLAmec39IyEx_6qawtMGysU/edit?usp=sharing"",""สบก!BG28"")"),84000)</f>
        <v>84000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IFERROR(__xludf.DUMMYFUNCTION("IMPORTRANGE(""https://docs.google.com/spreadsheets/d/1Yj_ptqi66GCucihVvJfMjLAmec39IyEx_6qawtMGysU/edit?usp=sharing"",""สบก!BH28"")"),0)</f>
        <v>0</v>
      </c>
      <c r="M148" s="50"/>
      <c r="N148" s="50">
        <f ca="1">IFERROR(__xludf.DUMMYFUNCTION("IMPORTRANGE(""https://docs.google.com/spreadsheets/d/1Yj_ptqi66GCucihVvJfMjLAmec39IyEx_6qawtMGysU/edit?usp=sharing"",""สบก!BL28"")"),0)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IFERROR(__xludf.DUMMYFUNCTION("IMPORTRANGE(""https://docs.google.com/spreadsheets/d/11923uPwbBZFjjGgGUA6NLw09EwE0CqkOc4q9oUmW1yo/edit?usp=sharing"",""พิษณุโลก!I74"")"),4)</f>
        <v>4</v>
      </c>
      <c r="J149" s="275">
        <f ca="1">IFERROR(__xludf.DUMMYFUNCTION("IMPORTRANGE(""https://docs.google.com/spreadsheets/d/11923uPwbBZFjjGgGUA6NLw09EwE0CqkOc4q9oUmW1yo/edit?usp=sharing"",""พิษณุโลก!J74"")"),2)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IFERROR(__xludf.DUMMYFUNCTION("IMPORTRANGE(""https://docs.google.com/spreadsheets/d/11923uPwbBZFjjGgGUA6NLw09EwE0CqkOc4q9oUmW1yo/edit?usp=sharing"",""พิษณุโลก!J79"")"),0)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IFERROR(__xludf.DUMMYFUNCTION("IMPORTRANGE(""https://docs.google.com/spreadsheets/d/11923uPwbBZFjjGgGUA6NLw09EwE0CqkOc4q9oUmW1yo/edit?usp=sharing"",""พิษณุโลก!J80"")"),1)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IFERROR(__xludf.DUMMYFUNCTION("IMPORTRANGE(""https://docs.google.com/spreadsheets/d/11923uPwbBZFjjGgGUA6NLw09EwE0CqkOc4q9oUmW1yo/edit?usp=sharing"",""พิษณุโลก!J81"")"),1)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IFERROR(__xludf.DUMMYFUNCTION("IMPORTRANGE(""https://docs.google.com/spreadsheets/d/11923uPwbBZFjjGgGUA6NLw09EwE0CqkOc4q9oUmW1yo/edit?usp=sharing"",""พิษณุโลก!J82"")"),1)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IFERROR(__xludf.DUMMYFUNCTION("IMPORTRANGE(""https://docs.google.com/spreadsheets/d/11923uPwbBZFjjGgGUA6NLw09EwE0CqkOc4q9oUmW1yo/edit?usp=sharing"",""พิษณุโลก!I83"")"),4)</f>
        <v>4</v>
      </c>
      <c r="J158" s="188">
        <f ca="1">IFERROR(__xludf.DUMMYFUNCTION("IMPORTRANGE(""https://docs.google.com/spreadsheets/d/11923uPwbBZFjjGgGUA6NLw09EwE0CqkOc4q9oUmW1yo/edit?usp=sharing"",""พิษณุโลก!J83"")"),2)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IFERROR(__xludf.DUMMYFUNCTION("IMPORTRANGE(""https://docs.google.com/spreadsheets/d/11923uPwbBZFjjGgGUA6NLw09EwE0CqkOc4q9oUmW1yo/edit?usp=sharing"",""พิษณุโลก!J84"")"),127)</f>
        <v>127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IFERROR(__xludf.DUMMYFUNCTION("IMPORTRANGE(""https://docs.google.com/spreadsheets/d/11923uPwbBZFjjGgGUA6NLw09EwE0CqkOc4q9oUmW1yo/edit?usp=sharing"",""พิษณุโลก!J85"")"),127)</f>
        <v>127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IFERROR(__xludf.DUMMYFUNCTION("IMPORTRANGE(""https://docs.google.com/spreadsheets/d/11923uPwbBZFjjGgGUA6NLw09EwE0CqkOc4q9oUmW1yo/edit?usp=sharing"",""พิษณุโลก!J86"")"),0)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IFERROR(__xludf.DUMMYFUNCTION("IMPORTRANGE(""https://docs.google.com/spreadsheets/d/11923uPwbBZFjjGgGUA6NLw09EwE0CqkOc4q9oUmW1yo/edit?usp=sharing"",""พิษณุโลก!J87"")"),0)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IFERROR(__xludf.DUMMYFUNCTION("IMPORTRANGE(""https://docs.google.com/spreadsheets/d/11923uPwbBZFjjGgGUA6NLw09EwE0CqkOc4q9oUmW1yo/edit?usp=sharing"",""พิษณุโลก!J88"")"),0)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IFERROR(__xludf.DUMMYFUNCTION("IMPORTRANGE(""https://docs.google.com/spreadsheets/d/11923uPwbBZFjjGgGUA6NLw09EwE0CqkOc4q9oUmW1yo/edit?usp=sharing"",""พิษณุโลก!I89"")"),3)</f>
        <v>3</v>
      </c>
      <c r="J164" s="284">
        <f ca="1">IFERROR(__xludf.DUMMYFUNCTION("IMPORTRANGE(""https://docs.google.com/spreadsheets/d/11923uPwbBZFjjGgGUA6NLw09EwE0CqkOc4q9oUmW1yo/edit?usp=sharing"",""พิษณุโลก!J89"")"),3)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IFERROR(__xludf.DUMMYFUNCTION("IMPORTRANGE(""https://docs.google.com/spreadsheets/d/11923uPwbBZFjjGgGUA6NLw09EwE0CqkOc4q9oUmW1yo/edit?usp=sharing"",""พิษณุโลก!J94"")"),0)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IFERROR(__xludf.DUMMYFUNCTION("IMPORTRANGE(""https://docs.google.com/spreadsheets/d/11923uPwbBZFjjGgGUA6NLw09EwE0CqkOc4q9oUmW1yo/edit?usp=sharing"",""พิษณุโลก!J95"")"),1)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IFERROR(__xludf.DUMMYFUNCTION("IMPORTRANGE(""https://docs.google.com/spreadsheets/d/11923uPwbBZFjjGgGUA6NLw09EwE0CqkOc4q9oUmW1yo/edit?usp=sharing"",""พิษณุโลก!J96"")"),1)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IFERROR(__xludf.DUMMYFUNCTION("IMPORTRANGE(""https://docs.google.com/spreadsheets/d/11923uPwbBZFjjGgGUA6NLw09EwE0CqkOc4q9oUmW1yo/edit?usp=sharing"",""พิษณุโลก!J97"")"),0)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IFERROR(__xludf.DUMMYFUNCTION("IMPORTRANGE(""https://docs.google.com/spreadsheets/d/11923uPwbBZFjjGgGUA6NLw09EwE0CqkOc4q9oUmW1yo/edit?usp=sharing"",""พิษณุโลก!I98"")"),3)</f>
        <v>3</v>
      </c>
      <c r="J173" s="188">
        <f ca="1">IFERROR(__xludf.DUMMYFUNCTION("IMPORTRANGE(""https://docs.google.com/spreadsheets/d/11923uPwbBZFjjGgGUA6NLw09EwE0CqkOc4q9oUmW1yo/edit?usp=sharing"",""พิษณุโลก!J98"")"),3)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IFERROR(__xludf.DUMMYFUNCTION("IMPORTRANGE(""https://docs.google.com/spreadsheets/d/11923uPwbBZFjjGgGUA6NLw09EwE0CqkOc4q9oUmW1yo/edit?usp=sharing"",""พิษณุโลก!J99"")"),0)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IFERROR(__xludf.DUMMYFUNCTION("IMPORTRANGE(""https://docs.google.com/spreadsheets/d/11923uPwbBZFjjGgGUA6NLw09EwE0CqkOc4q9oUmW1yo/edit?usp=sharing"",""พิษณุโลก!J100"")"),0)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IFERROR(__xludf.DUMMYFUNCTION("IMPORTRANGE(""https://docs.google.com/spreadsheets/d/11923uPwbBZFjjGgGUA6NLw09EwE0CqkOc4q9oUmW1yo/edit?usp=sharing"",""พิษณุโลก!I101"")"),0)</f>
        <v>0</v>
      </c>
      <c r="J176" s="284">
        <f ca="1">IFERROR(__xludf.DUMMYFUNCTION("IMPORTRANGE(""https://docs.google.com/spreadsheets/d/11923uPwbBZFjjGgGUA6NLw09EwE0CqkOc4q9oUmW1yo/edit?usp=sharing"",""พิษณุโลก!J101"")"),0)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IFERROR(__xludf.DUMMYFUNCTION("IMPORTRANGE(""https://docs.google.com/spreadsheets/d/11923uPwbBZFjjGgGUA6NLw09EwE0CqkOc4q9oUmW1yo/edit?usp=sharing"",""พิษณุโลก!J106"")"),0)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IFERROR(__xludf.DUMMYFUNCTION("IMPORTRANGE(""https://docs.google.com/spreadsheets/d/11923uPwbBZFjjGgGUA6NLw09EwE0CqkOc4q9oUmW1yo/edit?usp=sharing"",""พิษณุโลก!J107"")"),0)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IFERROR(__xludf.DUMMYFUNCTION("IMPORTRANGE(""https://docs.google.com/spreadsheets/d/11923uPwbBZFjjGgGUA6NLw09EwE0CqkOc4q9oUmW1yo/edit?usp=sharing"",""พิษณุโลก!J108"")"),0)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IFERROR(__xludf.DUMMYFUNCTION("IMPORTRANGE(""https://docs.google.com/spreadsheets/d/11923uPwbBZFjjGgGUA6NLw09EwE0CqkOc4q9oUmW1yo/edit?usp=sharing"",""พิษณุโลก!J109"")"),0)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IFERROR(__xludf.DUMMYFUNCTION("IMPORTRANGE(""https://docs.google.com/spreadsheets/d/11923uPwbBZFjjGgGUA6NLw09EwE0CqkOc4q9oUmW1yo/edit?usp=sharing"",""พิษณุโลก!I110"")"),0)</f>
        <v>0</v>
      </c>
      <c r="J185" s="203">
        <f ca="1">IFERROR(__xludf.DUMMYFUNCTION("IMPORTRANGE(""https://docs.google.com/spreadsheets/d/11923uPwbBZFjjGgGUA6NLw09EwE0CqkOc4q9oUmW1yo/edit?usp=sharing"",""พิษณุโลก!J110"")"),0)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IFERROR(__xludf.DUMMYFUNCTION("IMPORTRANGE(""https://docs.google.com/spreadsheets/d/11923uPwbBZFjjGgGUA6NLw09EwE0CqkOc4q9oUmW1yo/edit?usp=sharing"",""พิษณุโลก!I111"")"),0)</f>
        <v>0</v>
      </c>
      <c r="J186" s="203">
        <f ca="1">IFERROR(__xludf.DUMMYFUNCTION("IMPORTRANGE(""https://docs.google.com/spreadsheets/d/11923uPwbBZFjjGgGUA6NLw09EwE0CqkOc4q9oUmW1yo/edit?usp=sharing"",""พิษณุโลก!J111"")"),0)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IFERROR(__xludf.DUMMYFUNCTION("IMPORTRANGE(""https://docs.google.com/spreadsheets/d/11923uPwbBZFjjGgGUA6NLw09EwE0CqkOc4q9oUmW1yo/edit?usp=sharing"",""พิษณุโลก!J112"")"),0)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IFERROR(__xludf.DUMMYFUNCTION("IMPORTRANGE(""https://docs.google.com/spreadsheets/d/11923uPwbBZFjjGgGUA6NLw09EwE0CqkOc4q9oUmW1yo/edit?usp=sharing"",""พิษณุโลก!J113"")"),0)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IFERROR(__xludf.DUMMYFUNCTION("IMPORTRANGE(""https://docs.google.com/spreadsheets/d/11923uPwbBZFjjGgGUA6NLw09EwE0CqkOc4q9oUmW1yo/edit?usp=sharing"",""พิษณุโลก!I114"")"),50000)</f>
        <v>50000</v>
      </c>
      <c r="J189" s="284">
        <f ca="1">IFERROR(__xludf.DUMMYFUNCTION("IMPORTRANGE(""https://docs.google.com/spreadsheets/d/11923uPwbBZFjjGgGUA6NLw09EwE0CqkOc4q9oUmW1yo/edit?usp=sharing"",""พิษณุโลก!J114"")"),0)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IFERROR(__xludf.DUMMYFUNCTION("IMPORTRANGE(""https://docs.google.com/spreadsheets/d/11923uPwbBZFjjGgGUA6NLw09EwE0CqkOc4q9oUmW1yo/edit?usp=sharing"",""พิษณุโลก!J119"")"),0)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IFERROR(__xludf.DUMMYFUNCTION("IMPORTRANGE(""https://docs.google.com/spreadsheets/d/11923uPwbBZFjjGgGUA6NLw09EwE0CqkOc4q9oUmW1yo/edit?usp=sharing"",""พิษณุโลก!J120"")"),1)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IFERROR(__xludf.DUMMYFUNCTION("IMPORTRANGE(""https://docs.google.com/spreadsheets/d/11923uPwbBZFjjGgGUA6NLw09EwE0CqkOc4q9oUmW1yo/edit?usp=sharing"",""พิษณุโลก!J121"")"),1)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IFERROR(__xludf.DUMMYFUNCTION("IMPORTRANGE(""https://docs.google.com/spreadsheets/d/11923uPwbBZFjjGgGUA6NLw09EwE0CqkOc4q9oUmW1yo/edit?usp=sharing"",""พิษณุโลก!J122"")"),1)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IFERROR(__xludf.DUMMYFUNCTION("IMPORTRANGE(""https://docs.google.com/spreadsheets/d/11923uPwbBZFjjGgGUA6NLw09EwE0CqkOc4q9oUmW1yo/edit?usp=sharing"",""พิษณุโลก!I124"")"),50000)</f>
        <v>50000</v>
      </c>
      <c r="J199" s="188">
        <f ca="1">IFERROR(__xludf.DUMMYFUNCTION("IMPORTRANGE(""https://docs.google.com/spreadsheets/d/11923uPwbBZFjjGgGUA6NLw09EwE0CqkOc4q9oUmW1yo/edit?usp=sharing"",""พิษณุโลก!J124"")"),0)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IFERROR(__xludf.DUMMYFUNCTION("IMPORTRANGE(""https://docs.google.com/spreadsheets/d/11923uPwbBZFjjGgGUA6NLw09EwE0CqkOc4q9oUmW1yo/edit?usp=sharing"",""พิษณุโลก!I125"")"),50000)</f>
        <v>50000</v>
      </c>
      <c r="J200" s="188">
        <f ca="1">IFERROR(__xludf.DUMMYFUNCTION("IMPORTRANGE(""https://docs.google.com/spreadsheets/d/11923uPwbBZFjjGgGUA6NLw09EwE0CqkOc4q9oUmW1yo/edit?usp=sharing"",""พิษณุโลก!J125"")"),0)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IFERROR(__xludf.DUMMYFUNCTION("IMPORTRANGE(""https://docs.google.com/spreadsheets/d/11923uPwbBZFjjGgGUA6NLw09EwE0CqkOc4q9oUmW1yo/edit?usp=sharing"",""พิษณุโลก!I126"")"),15)</f>
        <v>15</v>
      </c>
      <c r="J201" s="188">
        <f ca="1">IFERROR(__xludf.DUMMYFUNCTION("IMPORTRANGE(""https://docs.google.com/spreadsheets/d/11923uPwbBZFjjGgGUA6NLw09EwE0CqkOc4q9oUmW1yo/edit?usp=sharing"",""พิษณุโลก!J126"")"),15)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IFERROR(__xludf.DUMMYFUNCTION("IMPORTRANGE(""https://docs.google.com/spreadsheets/d/11923uPwbBZFjjGgGUA6NLw09EwE0CqkOc4q9oUmW1yo/edit?usp=sharing"",""พิษณุโลก!J127"")"),0)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IFERROR(__xludf.DUMMYFUNCTION("IMPORTRANGE(""https://docs.google.com/spreadsheets/d/11923uPwbBZFjjGgGUA6NLw09EwE0CqkOc4q9oUmW1yo/edit?usp=sharing"",""พิษณุโลก!J128"")"),0)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IFERROR(__xludf.DUMMYFUNCTION("IMPORTRANGE(""https://docs.google.com/spreadsheets/d/11923uPwbBZFjjGgGUA6NLw09EwE0CqkOc4q9oUmW1yo/edit?usp=sharing"",""พิษณุโลก!I129"")"),0)</f>
        <v>0</v>
      </c>
      <c r="J204" s="284">
        <f ca="1">IFERROR(__xludf.DUMMYFUNCTION("IMPORTRANGE(""https://docs.google.com/spreadsheets/d/11923uPwbBZFjjGgGUA6NLw09EwE0CqkOc4q9oUmW1yo/edit?usp=sharing"",""พิษณุโลก!J129"")"),0)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IFERROR(__xludf.DUMMYFUNCTION("IMPORTRANGE(""https://docs.google.com/spreadsheets/d/11923uPwbBZFjjGgGUA6NLw09EwE0CqkOc4q9oUmW1yo/edit?usp=sharing"",""พิษณุโลก!J134"")"),0)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IFERROR(__xludf.DUMMYFUNCTION("IMPORTRANGE(""https://docs.google.com/spreadsheets/d/11923uPwbBZFjjGgGUA6NLw09EwE0CqkOc4q9oUmW1yo/edit?usp=sharing"",""พิษณุโลก!J135"")"),0)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IFERROR(__xludf.DUMMYFUNCTION("IMPORTRANGE(""https://docs.google.com/spreadsheets/d/11923uPwbBZFjjGgGUA6NLw09EwE0CqkOc4q9oUmW1yo/edit?usp=sharing"",""พิษณุโลก!J136"")"),0)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IFERROR(__xludf.DUMMYFUNCTION("IMPORTRANGE(""https://docs.google.com/spreadsheets/d/11923uPwbBZFjjGgGUA6NLw09EwE0CqkOc4q9oUmW1yo/edit?usp=sharing"",""พิษณุโลก!J137"")"),0)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IFERROR(__xludf.DUMMYFUNCTION("IMPORTRANGE(""https://docs.google.com/spreadsheets/d/11923uPwbBZFjjGgGUA6NLw09EwE0CqkOc4q9oUmW1yo/edit?usp=sharing"",""พิษณุโลก!I138"")"),0)</f>
        <v>0</v>
      </c>
      <c r="J213" s="203">
        <f ca="1">IFERROR(__xludf.DUMMYFUNCTION("IMPORTRANGE(""https://docs.google.com/spreadsheets/d/11923uPwbBZFjjGgGUA6NLw09EwE0CqkOc4q9oUmW1yo/edit?usp=sharing"",""พิษณุโลก!J138"")"),0)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IFERROR(__xludf.DUMMYFUNCTION("IMPORTRANGE(""https://docs.google.com/spreadsheets/d/11923uPwbBZFjjGgGUA6NLw09EwE0CqkOc4q9oUmW1yo/edit?usp=sharing"",""พิษณุโลก!I140"")"),0)</f>
        <v>0</v>
      </c>
      <c r="J215" s="203">
        <f ca="1">IFERROR(__xludf.DUMMYFUNCTION("IMPORTRANGE(""https://docs.google.com/spreadsheets/d/11923uPwbBZFjjGgGUA6NLw09EwE0CqkOc4q9oUmW1yo/edit?usp=sharing"",""พิษณุโลก!J140"")"),0)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IFERROR(__xludf.DUMMYFUNCTION("IMPORTRANGE(""https://docs.google.com/spreadsheets/d/11923uPwbBZFjjGgGUA6NLw09EwE0CqkOc4q9oUmW1yo/edit?usp=sharing"",""พิษณุโลก!I141"")"),0)</f>
        <v>0</v>
      </c>
      <c r="J216" s="203">
        <f ca="1">IFERROR(__xludf.DUMMYFUNCTION("IMPORTRANGE(""https://docs.google.com/spreadsheets/d/11923uPwbBZFjjGgGUA6NLw09EwE0CqkOc4q9oUmW1yo/edit?usp=sharing"",""พิษณุโลก!J141"")"),0)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IFERROR(__xludf.DUMMYFUNCTION("IMPORTRANGE(""https://docs.google.com/spreadsheets/d/11923uPwbBZFjjGgGUA6NLw09EwE0CqkOc4q9oUmW1yo/edit?usp=sharing"",""พิษณุโลก!J142"")"),0)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IFERROR(__xludf.DUMMYFUNCTION("IMPORTRANGE(""https://docs.google.com/spreadsheets/d/11923uPwbBZFjjGgGUA6NLw09EwE0CqkOc4q9oUmW1yo/edit?usp=sharing"",""พิษณุโลก!J143"")"),0)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IFERROR(__xludf.DUMMYFUNCTION("IMPORTRANGE(""https://docs.google.com/spreadsheets/d/11923uPwbBZFjjGgGUA6NLw09EwE0CqkOc4q9oUmW1yo/edit?usp=sharing"",""พิษณุโลก!I144"")"),0)</f>
        <v>0</v>
      </c>
      <c r="J219" s="267">
        <f ca="1">IFERROR(__xludf.DUMMYFUNCTION("IMPORTRANGE(""https://docs.google.com/spreadsheets/d/11923uPwbBZFjjGgGUA6NLw09EwE0CqkOc4q9oUmW1yo/edit?usp=sharing"",""พิษณุโลก!J144"")"),0)</f>
        <v>0</v>
      </c>
      <c r="K219" s="268">
        <f ca="1">IF(I219&gt;0,J219*100/I219,0)</f>
        <v>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0</v>
      </c>
      <c r="M222" s="88">
        <f t="shared" ca="1" si="76"/>
        <v>0</v>
      </c>
      <c r="N222" s="88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5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0</v>
      </c>
      <c r="M224" s="167">
        <f ca="1">IFERROR(__xludf.DUMMYFUNCTION("IMPORTRANGE(""https://docs.google.com/spreadsheets/d/1Yj_ptqi66GCucihVvJfMjLAmec39IyEx_6qawtMGysU/edit?usp=sharing"",""สบก!BS28"")"),0)</f>
        <v>0</v>
      </c>
      <c r="N224" s="168">
        <f ca="1">IFERROR(__xludf.DUMMYFUNCTION("IMPORTRANGE(""https://docs.google.com/spreadsheets/d/1Yj_ptqi66GCucihVvJfMjLAmec39IyEx_6qawtMGysU/edit?usp=sharing"",""สบก!BT28"")"),0)</f>
        <v>0</v>
      </c>
      <c r="O224" s="168">
        <f ca="1">IF(L224&gt;0,N224*100/L224,0)</f>
        <v>0</v>
      </c>
      <c r="P224" s="168">
        <f ca="1">IF(M224&gt;0,N224*100/M224,0)</f>
        <v>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IFERROR(__xludf.DUMMYFUNCTION("IMPORTRANGE(""https://docs.google.com/spreadsheets/d/1Yj_ptqi66GCucihVvJfMjLAmec39IyEx_6qawtMGysU/edit?usp=sharing"",""สบก!BO28"")"),0)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IFERROR(__xludf.DUMMYFUNCTION("IMPORTRANGE(""https://docs.google.com/spreadsheets/d/1Yj_ptqi66GCucihVvJfMjLAmec39IyEx_6qawtMGysU/edit?usp=sharing"",""สบก!BP28"")"),0)</f>
        <v>0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IFERROR(__xludf.DUMMYFUNCTION("IMPORTRANGE(""https://docs.google.com/spreadsheets/d/1Yj_ptqi66GCucihVvJfMjLAmec39IyEx_6qawtMGysU/edit?usp=sharing"",""สบก!BQ28"")"),0)</f>
        <v>0</v>
      </c>
      <c r="M228" s="50"/>
      <c r="N228" s="50">
        <f ca="1">IFERROR(__xludf.DUMMYFUNCTION("IMPORTRANGE(""https://docs.google.com/spreadsheets/d/1Yj_ptqi66GCucihVvJfMjLAmec39IyEx_6qawtMGysU/edit?usp=sharing"",""สบก!BU28"")"),0)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IFERROR(__xludf.DUMMYFUNCTION("IMPORTRANGE(""https://docs.google.com/spreadsheets/d/11923uPwbBZFjjGgGUA6NLw09EwE0CqkOc4q9oUmW1yo/edit?usp=sharing"",""พิษณุโลก!I149"")"),0)</f>
        <v>0</v>
      </c>
      <c r="J229" s="267">
        <f ca="1">IFERROR(__xludf.DUMMYFUNCTION("IMPORTRANGE(""https://docs.google.com/spreadsheets/d/11923uPwbBZFjjGgGUA6NLw09EwE0CqkOc4q9oUmW1yo/edit?usp=sharing"",""พิษณุโลก!J149"")"),0)</f>
        <v>0</v>
      </c>
      <c r="K229" s="268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IFERROR(__xludf.DUMMYFUNCTION("IMPORTRANGE(""https://docs.google.com/spreadsheets/d/11923uPwbBZFjjGgGUA6NLw09EwE0CqkOc4q9oUmW1yo/edit?usp=sharing"",""พิษณุโลก!J151"")"),0)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IFERROR(__xludf.DUMMYFUNCTION("IMPORTRANGE(""https://docs.google.com/spreadsheets/d/11923uPwbBZFjjGgGUA6NLw09EwE0CqkOc4q9oUmW1yo/edit?usp=sharing"",""พิษณุโลก!J152"")"),0)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IFERROR(__xludf.DUMMYFUNCTION("IMPORTRANGE(""https://docs.google.com/spreadsheets/d/11923uPwbBZFjjGgGUA6NLw09EwE0CqkOc4q9oUmW1yo/edit?usp=sharing"",""พิษณุโลก!J153"")"),0)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IFERROR(__xludf.DUMMYFUNCTION("IMPORTRANGE(""https://docs.google.com/spreadsheets/d/11923uPwbBZFjjGgGUA6NLw09EwE0CqkOc4q9oUmW1yo/edit?usp=sharing"",""พิษณุโลก!J154"")"),0)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IFERROR(__xludf.DUMMYFUNCTION("IMPORTRANGE(""https://docs.google.com/spreadsheets/d/11923uPwbBZFjjGgGUA6NLw09EwE0CqkOc4q9oUmW1yo/edit?usp=sharing"",""พิษณุโลก!I155"")"),0)</f>
        <v>0</v>
      </c>
      <c r="J235" s="188">
        <f ca="1">IFERROR(__xludf.DUMMYFUNCTION("IMPORTRANGE(""https://docs.google.com/spreadsheets/d/11923uPwbBZFjjGgGUA6NLw09EwE0CqkOc4q9oUmW1yo/edit?usp=sharing"",""พิษณุโลก!J155"")"),0)</f>
        <v>0</v>
      </c>
      <c r="K235" s="163">
        <f ca="1">IF(I235&gt;0,J235*100/I235,0)</f>
        <v>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IFERROR(__xludf.DUMMYFUNCTION("IMPORTRANGE(""https://docs.google.com/spreadsheets/d/11923uPwbBZFjjGgGUA6NLw09EwE0CqkOc4q9oUmW1yo/edit?usp=sharing"",""พิษณุโลก!J156"")"),0)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IFERROR(__xludf.DUMMYFUNCTION("IMPORTRANGE(""https://docs.google.com/spreadsheets/d/11923uPwbBZFjjGgGUA6NLw09EwE0CqkOc4q9oUmW1yo/edit?usp=sharing"",""พิษณุโลก!J157"")"),0)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IFERROR(__xludf.DUMMYFUNCTION("IMPORTRANGE(""https://docs.google.com/spreadsheets/d/11923uPwbBZFjjGgGUA6NLw09EwE0CqkOc4q9oUmW1yo/edit?usp=sharing"",""พิษณุโลก!I158"")"),0)</f>
        <v>0</v>
      </c>
      <c r="J238" s="267">
        <f ca="1">IFERROR(__xludf.DUMMYFUNCTION("IMPORTRANGE(""https://docs.google.com/spreadsheets/d/11923uPwbBZFjjGgGUA6NLw09EwE0CqkOc4q9oUmW1yo/edit?usp=sharing"",""พิษณุโลก!J158"")"),0)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IFERROR(__xludf.DUMMYFUNCTION("IMPORTRANGE(""https://docs.google.com/spreadsheets/d/11923uPwbBZFjjGgGUA6NLw09EwE0CqkOc4q9oUmW1yo/edit?usp=sharing"",""พิษณุโลก!J159"")"),"")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IFERROR(__xludf.DUMMYFUNCTION("IMPORTRANGE(""https://docs.google.com/spreadsheets/d/11923uPwbBZFjjGgGUA6NLw09EwE0CqkOc4q9oUmW1yo/edit?usp=sharing"",""พิษณุโลก!J161"")"),0)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IFERROR(__xludf.DUMMYFUNCTION("IMPORTRANGE(""https://docs.google.com/spreadsheets/d/11923uPwbBZFjjGgGUA6NLw09EwE0CqkOc4q9oUmW1yo/edit?usp=sharing"",""พิษณุโลก!J162"")"),0)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IFERROR(__xludf.DUMMYFUNCTION("IMPORTRANGE(""https://docs.google.com/spreadsheets/d/11923uPwbBZFjjGgGUA6NLw09EwE0CqkOc4q9oUmW1yo/edit?usp=sharing"",""พิษณุโลก!J163"")"),0)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IFERROR(__xludf.DUMMYFUNCTION("IMPORTRANGE(""https://docs.google.com/spreadsheets/d/11923uPwbBZFjjGgGUA6NLw09EwE0CqkOc4q9oUmW1yo/edit?usp=sharing"",""พิษณุโลก!I164"")"),0)</f>
        <v>0</v>
      </c>
      <c r="J244" s="187">
        <f ca="1">IFERROR(__xludf.DUMMYFUNCTION("IMPORTRANGE(""https://docs.google.com/spreadsheets/d/11923uPwbBZFjjGgGUA6NLw09EwE0CqkOc4q9oUmW1yo/edit?usp=sharing"",""พิษณุโลก!J164"")"),0)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IFERROR(__xludf.DUMMYFUNCTION("IMPORTRANGE(""https://docs.google.com/spreadsheets/d/11923uPwbBZFjjGgGUA6NLw09EwE0CqkOc4q9oUmW1yo/edit?usp=sharing"",""พิษณุโลก!J165"")"),0)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IFERROR(__xludf.DUMMYFUNCTION("IMPORTRANGE(""https://docs.google.com/spreadsheets/d/11923uPwbBZFjjGgGUA6NLw09EwE0CqkOc4q9oUmW1yo/edit?usp=sharing"",""พิษณุโลก!J166"")"),0)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IFERROR(__xludf.DUMMYFUNCTION("IMPORTRANGE(""https://docs.google.com/spreadsheets/d/11923uPwbBZFjjGgGUA6NLw09EwE0CqkOc4q9oUmW1yo/edit?usp=sharing"",""พิษณุโลก!I169"")"),0)</f>
        <v>0</v>
      </c>
      <c r="J249" s="316">
        <f ca="1">IFERROR(__xludf.DUMMYFUNCTION("IMPORTRANGE(""https://docs.google.com/spreadsheets/d/11923uPwbBZFjjGgGUA6NLw09EwE0CqkOc4q9oUmW1yo/edit?usp=sharing"",""พิษณุโลก!J169"")"),0)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IFERROR(__xludf.DUMMYFUNCTION("IMPORTRANGE(""https://docs.google.com/spreadsheets/d/1Yj_ptqi66GCucihVvJfMjLAmec39IyEx_6qawtMGysU/edit?usp=sharing"",""สบก!CB28"")"),0)</f>
        <v>0</v>
      </c>
      <c r="N254" s="168">
        <f ca="1">IFERROR(__xludf.DUMMYFUNCTION("IMPORTRANGE(""https://docs.google.com/spreadsheets/d/1Yj_ptqi66GCucihVvJfMjLAmec39IyEx_6qawtMGysU/edit?usp=sharing"",""สบก!CC28"")"),0)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IFERROR(__xludf.DUMMYFUNCTION("IMPORTRANGE(""https://docs.google.com/spreadsheets/d/1Yj_ptqi66GCucihVvJfMjLAmec39IyEx_6qawtMGysU/edit?usp=sharing"",""สบก!BX28"")"),0)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IFERROR(__xludf.DUMMYFUNCTION("IMPORTRANGE(""https://docs.google.com/spreadsheets/d/1Yj_ptqi66GCucihVvJfMjLAmec39IyEx_6qawtMGysU/edit?usp=sharing"",""สบก!BY28"")"),0)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IFERROR(__xludf.DUMMYFUNCTION("IMPORTRANGE(""https://docs.google.com/spreadsheets/d/1Yj_ptqi66GCucihVvJfMjLAmec39IyEx_6qawtMGysU/edit?usp=sharing"",""สบก!BZ28"")"),0)</f>
        <v>0</v>
      </c>
      <c r="M258" s="50"/>
      <c r="N258" s="50">
        <f ca="1">IFERROR(__xludf.DUMMYFUNCTION("IMPORTRANGE(""https://docs.google.com/spreadsheets/d/1Yj_ptqi66GCucihVvJfMjLAmec39IyEx_6qawtMGysU/edit?usp=sharing"",""สบก!CD28"")"),0)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IFERROR(__xludf.DUMMYFUNCTION("IMPORTRANGE(""https://docs.google.com/spreadsheets/d/11923uPwbBZFjjGgGUA6NLw09EwE0CqkOc4q9oUmW1yo/edit?usp=sharing"",""พิษณุโลก!J175"")"),0)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IFERROR(__xludf.DUMMYFUNCTION("IMPORTRANGE(""https://docs.google.com/spreadsheets/d/11923uPwbBZFjjGgGUA6NLw09EwE0CqkOc4q9oUmW1yo/edit?usp=sharing"",""พิษณุโลก!J176"")"),0)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IFERROR(__xludf.DUMMYFUNCTION("IMPORTRANGE(""https://docs.google.com/spreadsheets/d/11923uPwbBZFjjGgGUA6NLw09EwE0CqkOc4q9oUmW1yo/edit?usp=sharing"",""พิษณุโลก!J177"")"),0)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IFERROR(__xludf.DUMMYFUNCTION("IMPORTRANGE(""https://docs.google.com/spreadsheets/d/11923uPwbBZFjjGgGUA6NLw09EwE0CqkOc4q9oUmW1yo/edit?usp=sharing"",""พิษณุโลก!J178"")"),0)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IFERROR(__xludf.DUMMYFUNCTION("IMPORTRANGE(""https://docs.google.com/spreadsheets/d/11923uPwbBZFjjGgGUA6NLw09EwE0CqkOc4q9oUmW1yo/edit?usp=sharing"",""พิษณุโลก!I179"")"),0)</f>
        <v>0</v>
      </c>
      <c r="J264" s="188">
        <f ca="1">IFERROR(__xludf.DUMMYFUNCTION("IMPORTRANGE(""https://docs.google.com/spreadsheets/d/11923uPwbBZFjjGgGUA6NLw09EwE0CqkOc4q9oUmW1yo/edit?usp=sharing"",""พิษณุโลก!J179"")"),0)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IFERROR(__xludf.DUMMYFUNCTION("IMPORTRANGE(""https://docs.google.com/spreadsheets/d/11923uPwbBZFjjGgGUA6NLw09EwE0CqkOc4q9oUmW1yo/edit?usp=sharing"",""พิษณุโลก!I180"")"),0)</f>
        <v>0</v>
      </c>
      <c r="J265" s="188">
        <f ca="1">IFERROR(__xludf.DUMMYFUNCTION("IMPORTRANGE(""https://docs.google.com/spreadsheets/d/11923uPwbBZFjjGgGUA6NLw09EwE0CqkOc4q9oUmW1yo/edit?usp=sharing"",""พิษณุโลก!J180"")"),0)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IFERROR(__xludf.DUMMYFUNCTION("IMPORTRANGE(""https://docs.google.com/spreadsheets/d/11923uPwbBZFjjGgGUA6NLw09EwE0CqkOc4q9oUmW1yo/edit?usp=sharing"",""พิษณุโลก!I181"")"),0)</f>
        <v>0</v>
      </c>
      <c r="J266" s="188">
        <f ca="1">IFERROR(__xludf.DUMMYFUNCTION("IMPORTRANGE(""https://docs.google.com/spreadsheets/d/11923uPwbBZFjjGgGUA6NLw09EwE0CqkOc4q9oUmW1yo/edit?usp=sharing"",""พิษณุโลก!J181"")"),0)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IFERROR(__xludf.DUMMYFUNCTION("IMPORTRANGE(""https://docs.google.com/spreadsheets/d/11923uPwbBZFjjGgGUA6NLw09EwE0CqkOc4q9oUmW1yo/edit?usp=sharing"",""พิษณุโลก!I182"")"),0)</f>
        <v>0</v>
      </c>
      <c r="J267" s="188">
        <f ca="1">IFERROR(__xludf.DUMMYFUNCTION("IMPORTRANGE(""https://docs.google.com/spreadsheets/d/11923uPwbBZFjjGgGUA6NLw09EwE0CqkOc4q9oUmW1yo/edit?usp=sharing"",""พิษณุโลก!J182"")"),0)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IFERROR(__xludf.DUMMYFUNCTION("IMPORTRANGE(""https://docs.google.com/spreadsheets/d/11923uPwbBZFjjGgGUA6NLw09EwE0CqkOc4q9oUmW1yo/edit?usp=sharing"",""พิษณุโลก!J183"")"),0)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IFERROR(__xludf.DUMMYFUNCTION("IMPORTRANGE(""https://docs.google.com/spreadsheets/d/11923uPwbBZFjjGgGUA6NLw09EwE0CqkOc4q9oUmW1yo/edit?usp=sharing"",""พิษณุโลก!J184"")"),0)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IFERROR(__xludf.DUMMYFUNCTION("IMPORTRANGE(""https://docs.google.com/spreadsheets/d/11923uPwbBZFjjGgGUA6NLw09EwE0CqkOc4q9oUmW1yo/edit?usp=sharing"",""พิษณุโลก!I185"")"),15)</f>
        <v>15</v>
      </c>
      <c r="J270" s="316">
        <f ca="1">IFERROR(__xludf.DUMMYFUNCTION("IMPORTRANGE(""https://docs.google.com/spreadsheets/d/11923uPwbBZFjjGgGUA6NLw09EwE0CqkOc4q9oUmW1yo/edit?usp=sharing"",""พิษณุโลก!J185"")"),15)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26320</v>
      </c>
      <c r="O271" s="151">
        <f t="shared" ref="O271:O273" ca="1" si="84">IF(L271&gt;0,N271*100/L271,0)</f>
        <v>47.681159420289852</v>
      </c>
      <c r="P271" s="151">
        <f t="shared" ref="P271:P273" ca="1" si="85">IF(M271&gt;0,N271*100/M271,0)</f>
        <v>81.612403100775197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32250</v>
      </c>
      <c r="N273" s="88">
        <f t="shared" ca="1" si="87"/>
        <v>26320</v>
      </c>
      <c r="O273" s="156">
        <f t="shared" ca="1" si="84"/>
        <v>47.681159420289852</v>
      </c>
      <c r="P273" s="156">
        <f t="shared" ca="1" si="85"/>
        <v>81.612403100775197</v>
      </c>
    </row>
    <row r="274" spans="1:16" ht="21.75" customHeight="1" x14ac:dyDescent="0.45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IFERROR(__xludf.DUMMYFUNCTION("IMPORTRANGE(""https://docs.google.com/spreadsheets/d/1Yj_ptqi66GCucihVvJfMjLAmec39IyEx_6qawtMGysU/edit?usp=sharing"",""สบก!CK28"")"),32250)</f>
        <v>32250</v>
      </c>
      <c r="N275" s="168">
        <f ca="1">IFERROR(__xludf.DUMMYFUNCTION("IMPORTRANGE(""https://docs.google.com/spreadsheets/d/1Yj_ptqi66GCucihVvJfMjLAmec39IyEx_6qawtMGysU/edit?usp=sharing"",""สบก!CL28"")"),26320)</f>
        <v>26320</v>
      </c>
      <c r="O275" s="168">
        <f ca="1">IF(L275&gt;0,N275*100/L275,0)</f>
        <v>47.681159420289852</v>
      </c>
      <c r="P275" s="168">
        <f ca="1">IF(M275&gt;0,N275*100/M275,0)</f>
        <v>81.612403100775197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IFERROR(__xludf.DUMMYFUNCTION("IMPORTRANGE(""https://docs.google.com/spreadsheets/d/1Yj_ptqi66GCucihVvJfMjLAmec39IyEx_6qawtMGysU/edit?usp=sharing"",""สบก!CG28"")"),0)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IFERROR(__xludf.DUMMYFUNCTION("IMPORTRANGE(""https://docs.google.com/spreadsheets/d/1Yj_ptqi66GCucihVvJfMjLAmec39IyEx_6qawtMGysU/edit?usp=sharing"",""สบก!CH28"")"),55200)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IFERROR(__xludf.DUMMYFUNCTION("IMPORTRANGE(""https://docs.google.com/spreadsheets/d/1Yj_ptqi66GCucihVvJfMjLAmec39IyEx_6qawtMGysU/edit?usp=sharing"",""สบก!CI28"")"),0)</f>
        <v>0</v>
      </c>
      <c r="M279" s="50"/>
      <c r="N279" s="50">
        <f ca="1">IFERROR(__xludf.DUMMYFUNCTION("IMPORTRANGE(""https://docs.google.com/spreadsheets/d/1Yj_ptqi66GCucihVvJfMjLAmec39IyEx_6qawtMGysU/edit?usp=sharing"",""สบก!CM28"")"),0)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IFERROR(__xludf.DUMMYFUNCTION("IMPORTRANGE(""https://docs.google.com/spreadsheets/d/11923uPwbBZFjjGgGUA6NLw09EwE0CqkOc4q9oUmW1yo/edit?usp=sharing"",""พิษณุโลก!J191"")"),0)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IFERROR(__xludf.DUMMYFUNCTION("IMPORTRANGE(""https://docs.google.com/spreadsheets/d/11923uPwbBZFjjGgGUA6NLw09EwE0CqkOc4q9oUmW1yo/edit?usp=sharing"",""พิษณุโลก!J192"")"),1)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IFERROR(__xludf.DUMMYFUNCTION("IMPORTRANGE(""https://docs.google.com/spreadsheets/d/11923uPwbBZFjjGgGUA6NLw09EwE0CqkOc4q9oUmW1yo/edit?usp=sharing"",""พิษณุโลก!J193"")"),1)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IFERROR(__xludf.DUMMYFUNCTION("IMPORTRANGE(""https://docs.google.com/spreadsheets/d/11923uPwbBZFjjGgGUA6NLw09EwE0CqkOc4q9oUmW1yo/edit?usp=sharing"",""พิษณุโลก!J194"")"),1)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IFERROR(__xludf.DUMMYFUNCTION("IMPORTRANGE(""https://docs.google.com/spreadsheets/d/11923uPwbBZFjjGgGUA6NLw09EwE0CqkOc4q9oUmW1yo/edit?usp=sharing"",""พิษณุโลก!I195"")"),15)</f>
        <v>15</v>
      </c>
      <c r="J285" s="188">
        <f ca="1">IFERROR(__xludf.DUMMYFUNCTION("IMPORTRANGE(""https://docs.google.com/spreadsheets/d/11923uPwbBZFjjGgGUA6NLw09EwE0CqkOc4q9oUmW1yo/edit?usp=sharing"",""พิษณุโลก!J195"")"),15)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IFERROR(__xludf.DUMMYFUNCTION("IMPORTRANGE(""https://docs.google.com/spreadsheets/d/11923uPwbBZFjjGgGUA6NLw09EwE0CqkOc4q9oUmW1yo/edit?usp=sharing"",""พิษณุโลก!J196"")"),0)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IFERROR(__xludf.DUMMYFUNCTION("IMPORTRANGE(""https://docs.google.com/spreadsheets/d/11923uPwbBZFjjGgGUA6NLw09EwE0CqkOc4q9oUmW1yo/edit?usp=sharing"",""พิษณุโลก!J197"")"),0)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IFERROR(__xludf.DUMMYFUNCTION("IMPORTRANGE(""https://docs.google.com/spreadsheets/d/11923uPwbBZFjjGgGUA6NLw09EwE0CqkOc4q9oUmW1yo/edit?usp=sharing"",""พิษณุโลก!I199"")"),0)</f>
        <v>0</v>
      </c>
      <c r="J289" s="316">
        <f ca="1">IFERROR(__xludf.DUMMYFUNCTION("IMPORTRANGE(""https://docs.google.com/spreadsheets/d/11923uPwbBZFjjGgGUA6NLw09EwE0CqkOc4q9oUmW1yo/edit?usp=sharing"",""พิษณุโลก!J199"")"),0)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IFERROR(__xludf.DUMMYFUNCTION("IMPORTRANGE(""https://docs.google.com/spreadsheets/d/1Yj_ptqi66GCucihVvJfMjLAmec39IyEx_6qawtMGysU/edit?usp=sharing"",""สบก!CT28"")"),0)</f>
        <v>0</v>
      </c>
      <c r="N294" s="168">
        <f ca="1">IFERROR(__xludf.DUMMYFUNCTION("IMPORTRANGE(""https://docs.google.com/spreadsheets/d/1Yj_ptqi66GCucihVvJfMjLAmec39IyEx_6qawtMGysU/edit?usp=sharing"",""สบก!CU28"")"),0)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IFERROR(__xludf.DUMMYFUNCTION("IMPORTRANGE(""https://docs.google.com/spreadsheets/d/1Yj_ptqi66GCucihVvJfMjLAmec39IyEx_6qawtMGysU/edit?usp=sharing"",""สบก!CP28"")"),0)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IFERROR(__xludf.DUMMYFUNCTION("IMPORTRANGE(""https://docs.google.com/spreadsheets/d/1Yj_ptqi66GCucihVvJfMjLAmec39IyEx_6qawtMGysU/edit?usp=sharing"",""สบก!CQ28"")"),0)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IFERROR(__xludf.DUMMYFUNCTION("IMPORTRANGE(""https://docs.google.com/spreadsheets/d/1Yj_ptqi66GCucihVvJfMjLAmec39IyEx_6qawtMGysU/edit?usp=sharing"",""สบก!CR28"")"),0)</f>
        <v>0</v>
      </c>
      <c r="M298" s="50"/>
      <c r="N298" s="50">
        <f ca="1">IFERROR(__xludf.DUMMYFUNCTION("IMPORTRANGE(""https://docs.google.com/spreadsheets/d/1Yj_ptqi66GCucihVvJfMjLAmec39IyEx_6qawtMGysU/edit?usp=sharing"",""สบก!CV28"")"),0)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IFERROR(__xludf.DUMMYFUNCTION("IMPORTRANGE(""https://docs.google.com/spreadsheets/d/11923uPwbBZFjjGgGUA6NLw09EwE0CqkOc4q9oUmW1yo/edit?usp=sharing"",""พิษณุโลก!J205"")"),0)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IFERROR(__xludf.DUMMYFUNCTION("IMPORTRANGE(""https://docs.google.com/spreadsheets/d/11923uPwbBZFjjGgGUA6NLw09EwE0CqkOc4q9oUmW1yo/edit?usp=sharing"",""พิษณุโลก!J206"")"),0)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IFERROR(__xludf.DUMMYFUNCTION("IMPORTRANGE(""https://docs.google.com/spreadsheets/d/11923uPwbBZFjjGgGUA6NLw09EwE0CqkOc4q9oUmW1yo/edit?usp=sharing"",""พิษณุโลก!J207"")"),0)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IFERROR(__xludf.DUMMYFUNCTION("IMPORTRANGE(""https://docs.google.com/spreadsheets/d/11923uPwbBZFjjGgGUA6NLw09EwE0CqkOc4q9oUmW1yo/edit?usp=sharing"",""พิษณุโลก!J208"")"),0)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IFERROR(__xludf.DUMMYFUNCTION("IMPORTRANGE(""https://docs.google.com/spreadsheets/d/11923uPwbBZFjjGgGUA6NLw09EwE0CqkOc4q9oUmW1yo/edit?usp=sharing"",""พิษณุโลก!I209"")"),0)</f>
        <v>0</v>
      </c>
      <c r="J304" s="203">
        <f ca="1">IFERROR(__xludf.DUMMYFUNCTION("IMPORTRANGE(""https://docs.google.com/spreadsheets/d/11923uPwbBZFjjGgGUA6NLw09EwE0CqkOc4q9oUmW1yo/edit?usp=sharing"",""พิษณุโลก!J209"")"),0)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IFERROR(__xludf.DUMMYFUNCTION("IMPORTRANGE(""https://docs.google.com/spreadsheets/d/11923uPwbBZFjjGgGUA6NLw09EwE0CqkOc4q9oUmW1yo/edit?usp=sharing"",""พิษณุโลก!I211"")"),0)</f>
        <v>0</v>
      </c>
      <c r="J306" s="203">
        <f ca="1">IFERROR(__xludf.DUMMYFUNCTION("IMPORTRANGE(""https://docs.google.com/spreadsheets/d/11923uPwbBZFjjGgGUA6NLw09EwE0CqkOc4q9oUmW1yo/edit?usp=sharing"",""พิษณุโลก!J211"")"),0)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IFERROR(__xludf.DUMMYFUNCTION("IMPORTRANGE(""https://docs.google.com/spreadsheets/d/11923uPwbBZFjjGgGUA6NLw09EwE0CqkOc4q9oUmW1yo/edit?usp=sharing"",""พิษณุโลก!J212"")"),0)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IFERROR(__xludf.DUMMYFUNCTION("IMPORTRANGE(""https://docs.google.com/spreadsheets/d/11923uPwbBZFjjGgGUA6NLw09EwE0CqkOc4q9oUmW1yo/edit?usp=sharing"",""พิษณุโลก!J213"")"),0)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IFERROR(__xludf.DUMMYFUNCTION("IMPORTRANGE(""https://docs.google.com/spreadsheets/d/11923uPwbBZFjjGgGUA6NLw09EwE0CqkOc4q9oUmW1yo/edit?usp=sharing"",""พิษณุโลก!I214"")"),0)</f>
        <v>0</v>
      </c>
      <c r="J309" s="333">
        <f ca="1">IFERROR(__xludf.DUMMYFUNCTION("IMPORTRANGE(""https://docs.google.com/spreadsheets/d/11923uPwbBZFjjGgGUA6NLw09EwE0CqkOc4q9oUmW1yo/edit?usp=sharing"",""พิษณุโลก!J214"")"),0)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IFERROR(__xludf.DUMMYFUNCTION("IMPORTRANGE(""https://docs.google.com/spreadsheets/d/1Yj_ptqi66GCucihVvJfMjLAmec39IyEx_6qawtMGysU/edit?usp=sharing"",""สบก!DC28"")"),0)</f>
        <v>0</v>
      </c>
      <c r="N314" s="168">
        <f ca="1">IFERROR(__xludf.DUMMYFUNCTION("IMPORTRANGE(""https://docs.google.com/spreadsheets/d/1Yj_ptqi66GCucihVvJfMjLAmec39IyEx_6qawtMGysU/edit?usp=sharing"",""สบก!DD28"")"),0)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IFERROR(__xludf.DUMMYFUNCTION("IMPORTRANGE(""https://docs.google.com/spreadsheets/d/1Yj_ptqi66GCucihVvJfMjLAmec39IyEx_6qawtMGysU/edit?usp=sharing"",""สบก!CY28"")"),0)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IFERROR(__xludf.DUMMYFUNCTION("IMPORTRANGE(""https://docs.google.com/spreadsheets/d/1Yj_ptqi66GCucihVvJfMjLAmec39IyEx_6qawtMGysU/edit?usp=sharing"",""สบก!CZ28"")"),0)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IFERROR(__xludf.DUMMYFUNCTION("IMPORTRANGE(""https://docs.google.com/spreadsheets/d/1Yj_ptqi66GCucihVvJfMjLAmec39IyEx_6qawtMGysU/edit?usp=sharing"",""สบก!DA28"")"),0)</f>
        <v>0</v>
      </c>
      <c r="M318" s="50"/>
      <c r="N318" s="50">
        <f ca="1">IFERROR(__xludf.DUMMYFUNCTION("IMPORTRANGE(""https://docs.google.com/spreadsheets/d/1Yj_ptqi66GCucihVvJfMjLAmec39IyEx_6qawtMGysU/edit?usp=sharing"",""สบก!DE28"")"),0)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IFERROR(__xludf.DUMMYFUNCTION("IMPORTRANGE(""https://docs.google.com/spreadsheets/d/11923uPwbBZFjjGgGUA6NLw09EwE0CqkOc4q9oUmW1yo/edit?usp=sharing"",""พิษณุโลก!J220"")"),0)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IFERROR(__xludf.DUMMYFUNCTION("IMPORTRANGE(""https://docs.google.com/spreadsheets/d/11923uPwbBZFjjGgGUA6NLw09EwE0CqkOc4q9oUmW1yo/edit?usp=sharing"",""พิษณุโลก!J221"")"),0)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IFERROR(__xludf.DUMMYFUNCTION("IMPORTRANGE(""https://docs.google.com/spreadsheets/d/11923uPwbBZFjjGgGUA6NLw09EwE0CqkOc4q9oUmW1yo/edit?usp=sharing"",""พิษณุโลก!J222"")"),0)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IFERROR(__xludf.DUMMYFUNCTION("IMPORTRANGE(""https://docs.google.com/spreadsheets/d/11923uPwbBZFjjGgGUA6NLw09EwE0CqkOc4q9oUmW1yo/edit?usp=sharing"",""พิษณุโลก!J223"")"),0)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IFERROR(__xludf.DUMMYFUNCTION("IMPORTRANGE(""https://docs.google.com/spreadsheets/d/11923uPwbBZFjjGgGUA6NLw09EwE0CqkOc4q9oUmW1yo/edit?usp=sharing"",""พิษณุโลก!I224"")"),0)</f>
        <v>0</v>
      </c>
      <c r="J324" s="203">
        <f ca="1">IFERROR(__xludf.DUMMYFUNCTION("IMPORTRANGE(""https://docs.google.com/spreadsheets/d/11923uPwbBZFjjGgGUA6NLw09EwE0CqkOc4q9oUmW1yo/edit?usp=sharing"",""พิษณุโลก!J224"")"),0)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IFERROR(__xludf.DUMMYFUNCTION("IMPORTRANGE(""https://docs.google.com/spreadsheets/d/11923uPwbBZFjjGgGUA6NLw09EwE0CqkOc4q9oUmW1yo/edit?usp=sharing"",""พิษณุโลก!J225"")"),0)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IFERROR(__xludf.DUMMYFUNCTION("IMPORTRANGE(""https://docs.google.com/spreadsheets/d/11923uPwbBZFjjGgGUA6NLw09EwE0CqkOc4q9oUmW1yo/edit?usp=sharing"",""พิษณุโลก!J226"")"),0)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IFERROR(__xludf.DUMMYFUNCTION("IMPORTRANGE(""https://docs.google.com/spreadsheets/d/11923uPwbBZFjjGgGUA6NLw09EwE0CqkOc4q9oUmW1yo/edit?usp=sharing"",""พิษณุโลก!I228"")"),220)</f>
        <v>220</v>
      </c>
      <c r="J328" s="339">
        <f ca="1">IFERROR(__xludf.DUMMYFUNCTION("IMPORTRANGE(""https://docs.google.com/spreadsheets/d/11923uPwbBZFjjGgGUA6NLw09EwE0CqkOc4q9oUmW1yo/edit?usp=sharing"",""พิษณุโลก!J228"")"),153)</f>
        <v>153</v>
      </c>
      <c r="K328" s="317">
        <f ca="1">IF(I328&gt;0,J328*100/I328,0)</f>
        <v>69.545454545454547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693330</v>
      </c>
      <c r="M329" s="152">
        <f t="shared" ca="1" si="98"/>
        <v>557570</v>
      </c>
      <c r="N329" s="152">
        <f t="shared" ca="1" si="98"/>
        <v>511011.09</v>
      </c>
      <c r="O329" s="151">
        <f t="shared" ref="O329:O331" ca="1" si="99">IF(L329&gt;0,N329*100/L329,0)</f>
        <v>73.703876941716061</v>
      </c>
      <c r="P329" s="151">
        <f t="shared" ref="P329:P331" ca="1" si="100">IF(M329&gt;0,N329*100/M329,0)</f>
        <v>91.649674480334312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693330</v>
      </c>
      <c r="M331" s="88">
        <f t="shared" ca="1" si="102"/>
        <v>557570</v>
      </c>
      <c r="N331" s="88">
        <f t="shared" ca="1" si="102"/>
        <v>511011.09</v>
      </c>
      <c r="O331" s="156">
        <f t="shared" ca="1" si="99"/>
        <v>73.703876941716061</v>
      </c>
      <c r="P331" s="156">
        <f t="shared" ca="1" si="100"/>
        <v>91.649674480334312</v>
      </c>
    </row>
    <row r="332" spans="1:16" ht="21.75" customHeight="1" x14ac:dyDescent="0.45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678330</v>
      </c>
      <c r="M333" s="167">
        <f ca="1">IFERROR(__xludf.DUMMYFUNCTION("IMPORTRANGE(""https://docs.google.com/spreadsheets/d/1Yj_ptqi66GCucihVvJfMjLAmec39IyEx_6qawtMGysU/edit?usp=sharing"",""สบก!DL28"")"),542570)</f>
        <v>542570</v>
      </c>
      <c r="N333" s="168">
        <f ca="1">IFERROR(__xludf.DUMMYFUNCTION("IMPORTRANGE(""https://docs.google.com/spreadsheets/d/1Yj_ptqi66GCucihVvJfMjLAmec39IyEx_6qawtMGysU/edit?usp=sharing"",""สบก!DM28"")"),496011.09)</f>
        <v>496011.09</v>
      </c>
      <c r="O333" s="168">
        <f ca="1">IF(L333&gt;0,N333*100/L333,0)</f>
        <v>73.122387333598695</v>
      </c>
      <c r="P333" s="168">
        <f ca="1">IF(M333&gt;0,N333*100/M333,0)</f>
        <v>91.418819691468386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IFERROR(__xludf.DUMMYFUNCTION("IMPORTRANGE(""https://docs.google.com/spreadsheets/d/1Yj_ptqi66GCucihVvJfMjLAmec39IyEx_6qawtMGysU/edit?usp=sharing"",""สบก!DH28"")"),306000)</f>
        <v>306000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IFERROR(__xludf.DUMMYFUNCTION("IMPORTRANGE(""https://docs.google.com/spreadsheets/d/1Yj_ptqi66GCucihVvJfMjLAmec39IyEx_6qawtMGysU/edit?usp=sharing"",""สบก!DI28"")"),372330)</f>
        <v>372330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IFERROR(__xludf.DUMMYFUNCTION("IMPORTRANGE(""https://docs.google.com/spreadsheets/d/1Yj_ptqi66GCucihVvJfMjLAmec39IyEx_6qawtMGysU/edit?usp=sharing"",""สบก!DJ28"")"),15000)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IFERROR(__xludf.DUMMYFUNCTION("IMPORTRANGE(""https://docs.google.com/spreadsheets/d/1Yj_ptqi66GCucihVvJfMjLAmec39IyEx_6qawtMGysU/edit?usp=sharing"",""สบก!DN28"")"),15000)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IFERROR(__xludf.DUMMYFUNCTION("IMPORTRANGE(""https://docs.google.com/spreadsheets/d/11923uPwbBZFjjGgGUA6NLw09EwE0CqkOc4q9oUmW1yo/edit?usp=sharing"",""พิษณุโลก!I234"")"),0)</f>
        <v>0</v>
      </c>
      <c r="J339" s="187">
        <f ca="1">IFERROR(__xludf.DUMMYFUNCTION("IMPORTRANGE(""https://docs.google.com/spreadsheets/d/11923uPwbBZFjjGgGUA6NLw09EwE0CqkOc4q9oUmW1yo/edit?usp=sharing"",""พิษณุโลก!J234"")"),213)</f>
        <v>213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IFERROR(__xludf.DUMMYFUNCTION("IMPORTRANGE(""https://docs.google.com/spreadsheets/d/11923uPwbBZFjjGgGUA6NLw09EwE0CqkOc4q9oUmW1yo/edit?usp=sharing"",""พิษณุโลก!I235"")"),2040)</f>
        <v>2040</v>
      </c>
      <c r="J340" s="187">
        <f ca="1">IFERROR(__xludf.DUMMYFUNCTION("IMPORTRANGE(""https://docs.google.com/spreadsheets/d/11923uPwbBZFjjGgGUA6NLw09EwE0CqkOc4q9oUmW1yo/edit?usp=sharing"",""พิษณุโลก!J235"")"),2133.54)</f>
        <v>2133.54</v>
      </c>
      <c r="K340" s="342">
        <f t="shared" ca="1" si="103"/>
        <v>104.58529411764705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IFERROR(__xludf.DUMMYFUNCTION("IMPORTRANGE(""https://docs.google.com/spreadsheets/d/11923uPwbBZFjjGgGUA6NLw09EwE0CqkOc4q9oUmW1yo/edit?usp=sharing"",""พิษณุโลก!I236"")"),220)</f>
        <v>220</v>
      </c>
      <c r="J341" s="187">
        <f ca="1">IFERROR(__xludf.DUMMYFUNCTION("IMPORTRANGE(""https://docs.google.com/spreadsheets/d/11923uPwbBZFjjGgGUA6NLw09EwE0CqkOc4q9oUmW1yo/edit?usp=sharing"",""พิษณุโลก!J236"")"),273)</f>
        <v>273</v>
      </c>
      <c r="K341" s="342">
        <f t="shared" ca="1" si="103"/>
        <v>124.09090909090909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IFERROR(__xludf.DUMMYFUNCTION("IMPORTRANGE(""https://docs.google.com/spreadsheets/d/11923uPwbBZFjjGgGUA6NLw09EwE0CqkOc4q9oUmW1yo/edit?usp=sharing"",""พิษณุโลก!I237"")"),0)</f>
        <v>0</v>
      </c>
      <c r="J342" s="187">
        <f ca="1">IFERROR(__xludf.DUMMYFUNCTION("IMPORTRANGE(""https://docs.google.com/spreadsheets/d/11923uPwbBZFjjGgGUA6NLw09EwE0CqkOc4q9oUmW1yo/edit?usp=sharing"",""พิษณุโลก!J237"")"),3036.25)</f>
        <v>3036.25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IFERROR(__xludf.DUMMYFUNCTION("IMPORTRANGE(""https://docs.google.com/spreadsheets/d/11923uPwbBZFjjGgGUA6NLw09EwE0CqkOc4q9oUmW1yo/edit?usp=sharing"",""พิษณุโลก!I238"")"),220)</f>
        <v>220</v>
      </c>
      <c r="J343" s="187">
        <f ca="1">IFERROR(__xludf.DUMMYFUNCTION("IMPORTRANGE(""https://docs.google.com/spreadsheets/d/11923uPwbBZFjjGgGUA6NLw09EwE0CqkOc4q9oUmW1yo/edit?usp=sharing"",""พิษณุโลก!J238"")"),14)</f>
        <v>14</v>
      </c>
      <c r="K343" s="342">
        <f t="shared" ca="1" si="103"/>
        <v>6.3636363636363633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IFERROR(__xludf.DUMMYFUNCTION("IMPORTRANGE(""https://docs.google.com/spreadsheets/d/11923uPwbBZFjjGgGUA6NLw09EwE0CqkOc4q9oUmW1yo/edit?usp=sharing"",""พิษณุโลก!I239"")"),0)</f>
        <v>0</v>
      </c>
      <c r="J344" s="187">
        <f ca="1">IFERROR(__xludf.DUMMYFUNCTION("IMPORTRANGE(""https://docs.google.com/spreadsheets/d/11923uPwbBZFjjGgGUA6NLw09EwE0CqkOc4q9oUmW1yo/edit?usp=sharing"",""พิษณุโลก!J239"")"),94.01)</f>
        <v>94.01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IFERROR(__xludf.DUMMYFUNCTION("IMPORTRANGE(""https://docs.google.com/spreadsheets/d/11923uPwbBZFjjGgGUA6NLw09EwE0CqkOc4q9oUmW1yo/edit?usp=sharing"",""พิษณุโลก!I240"")"),220)</f>
        <v>220</v>
      </c>
      <c r="J345" s="187">
        <f ca="1">IFERROR(__xludf.DUMMYFUNCTION("IMPORTRANGE(""https://docs.google.com/spreadsheets/d/11923uPwbBZFjjGgGUA6NLw09EwE0CqkOc4q9oUmW1yo/edit?usp=sharing"",""พิษณุโลก!J240"")"),153)</f>
        <v>153</v>
      </c>
      <c r="K345" s="342">
        <f t="shared" ca="1" si="103"/>
        <v>69.545454545454547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IFERROR(__xludf.DUMMYFUNCTION("IMPORTRANGE(""https://docs.google.com/spreadsheets/d/11923uPwbBZFjjGgGUA6NLw09EwE0CqkOc4q9oUmW1yo/edit?usp=sharing"",""พิษณุโลก!I241"")"),0)</f>
        <v>0</v>
      </c>
      <c r="J346" s="187">
        <f ca="1">IFERROR(__xludf.DUMMYFUNCTION("IMPORTRANGE(""https://docs.google.com/spreadsheets/d/11923uPwbBZFjjGgGUA6NLw09EwE0CqkOc4q9oUmW1yo/edit?usp=sharing"",""พิษณุโลก!J241"")"),1596.17999999999)</f>
        <v>1596.1799999999901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IFERROR(__xludf.DUMMYFUNCTION("IMPORTRANGE(""https://docs.google.com/spreadsheets/d/11923uPwbBZFjjGgGUA6NLw09EwE0CqkOc4q9oUmW1yo/edit?usp=sharing"",""พิษณุโลก!L242"")"),2742039)</f>
        <v>2742039</v>
      </c>
      <c r="M347" s="357"/>
      <c r="N347" s="357">
        <f ca="1">IFERROR(__xludf.DUMMYFUNCTION("IMPORTRANGE(""https://docs.google.com/spreadsheets/d/11923uPwbBZFjjGgGUA6NLw09EwE0CqkOc4q9oUmW1yo/edit?usp=sharing"",""พิษณุโลก!M242"")"),724771.69)</f>
        <v>724771.69</v>
      </c>
      <c r="O347" s="357">
        <f ca="1">+IF(L347&gt;0,N347*100/L347,0)</f>
        <v>26.431851990434854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IFERROR(__xludf.DUMMYFUNCTION("IMPORTRANGE(""https://docs.google.com/spreadsheets/d/11923uPwbBZFjjGgGUA6NLw09EwE0CqkOc4q9oUmW1yo/edit?usp=sharing"",""พิษณุโลก!I244"")"),0)</f>
        <v>0</v>
      </c>
      <c r="J349" s="370">
        <f ca="1">IFERROR(__xludf.DUMMYFUNCTION("IMPORTRANGE(""https://docs.google.com/spreadsheets/d/11923uPwbBZFjjGgGUA6NLw09EwE0CqkOc4q9oUmW1yo/edit?usp=sharing"",""พิษณุโลก!J244"")"),0)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IFERROR(__xludf.DUMMYFUNCTION("IMPORTRANGE(""https://docs.google.com/spreadsheets/d/11923uPwbBZFjjGgGUA6NLw09EwE0CqkOc4q9oUmW1yo/edit?usp=sharing"",""พิษณุโลก!L244"")"),0)</f>
        <v>0</v>
      </c>
      <c r="M349" s="372"/>
      <c r="N349" s="372">
        <f ca="1">IFERROR(__xludf.DUMMYFUNCTION("IMPORTRANGE(""https://docs.google.com/spreadsheets/d/11923uPwbBZFjjGgGUA6NLw09EwE0CqkOc4q9oUmW1yo/edit?usp=sharing"",""พิษณุโลก!M244"")"),0)</f>
        <v>0</v>
      </c>
      <c r="O349" s="372">
        <f ca="1">+IF(L349&gt;0,N349*100/L349,0)</f>
        <v>0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IFERROR(__xludf.DUMMYFUNCTION("IMPORTRANGE(""https://docs.google.com/spreadsheets/d/11923uPwbBZFjjGgGUA6NLw09EwE0CqkOc4q9oUmW1yo/edit?usp=sharing"",""พิษณุโลก!I245"")"),0)</f>
        <v>0</v>
      </c>
      <c r="J350" s="370">
        <f ca="1">IFERROR(__xludf.DUMMYFUNCTION("IMPORTRANGE(""https://docs.google.com/spreadsheets/d/11923uPwbBZFjjGgGUA6NLw09EwE0CqkOc4q9oUmW1yo/edit?usp=sharing"",""พิษณุโลก!J245"")"),0)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IFERROR(__xludf.DUMMYFUNCTION("IMPORTRANGE(""https://docs.google.com/spreadsheets/d/11923uPwbBZFjjGgGUA6NLw09EwE0CqkOc4q9oUmW1yo/edit?usp=sharing"",""พิษณุโลก!L246"")"),0)</f>
        <v>0</v>
      </c>
      <c r="M351" s="164"/>
      <c r="N351" s="164">
        <f ca="1">IFERROR(__xludf.DUMMYFUNCTION("IMPORTRANGE(""https://docs.google.com/spreadsheets/d/11923uPwbBZFjjGgGUA6NLw09EwE0CqkOc4q9oUmW1yo/edit?usp=sharing"",""พิษณุโลก!M246"")"),0)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IFERROR(__xludf.DUMMYFUNCTION("IMPORTRANGE(""https://docs.google.com/spreadsheets/d/11923uPwbBZFjjGgGUA6NLw09EwE0CqkOc4q9oUmW1yo/edit?usp=sharing"",""พิษณุโลก!L247"")"),0)</f>
        <v>0</v>
      </c>
      <c r="M352" s="165"/>
      <c r="N352" s="164">
        <f ca="1">IFERROR(__xludf.DUMMYFUNCTION("IMPORTRANGE(""https://docs.google.com/spreadsheets/d/11923uPwbBZFjjGgGUA6NLw09EwE0CqkOc4q9oUmW1yo/edit?usp=sharing"",""พิษณุโลก!M247"")"),0)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IFERROR(__xludf.DUMMYFUNCTION("IMPORTRANGE(""https://docs.google.com/spreadsheets/d/11923uPwbBZFjjGgGUA6NLw09EwE0CqkOc4q9oUmW1yo/edit?usp=sharing"",""พิษณุโลก!L248"")"),0)</f>
        <v>0</v>
      </c>
      <c r="M353" s="168"/>
      <c r="N353" s="168">
        <f ca="1">IFERROR(__xludf.DUMMYFUNCTION("IMPORTRANGE(""https://docs.google.com/spreadsheets/d/11923uPwbBZFjjGgGUA6NLw09EwE0CqkOc4q9oUmW1yo/edit?usp=sharing"",""พิษณุโลก!M248"")"),0)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IFERROR(__xludf.DUMMYFUNCTION("IMPORTRANGE(""https://docs.google.com/spreadsheets/d/11923uPwbBZFjjGgGUA6NLw09EwE0CqkOc4q9oUmW1yo/edit?usp=sharing"",""พิษณุโลก!L249"")"),0)</f>
        <v>0</v>
      </c>
      <c r="M354" s="168"/>
      <c r="N354" s="167">
        <f ca="1">IFERROR(__xludf.DUMMYFUNCTION("IMPORTRANGE(""https://docs.google.com/spreadsheets/d/11923uPwbBZFjjGgGUA6NLw09EwE0CqkOc4q9oUmW1yo/edit?usp=sharing"",""พิษณุโลก!M249"")"),0)</f>
        <v>0</v>
      </c>
      <c r="O354" s="168">
        <f t="shared" ca="1" si="105"/>
        <v>0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IFERROR(__xludf.DUMMYFUNCTION("IMPORTRANGE(""https://docs.google.com/spreadsheets/d/11923uPwbBZFjjGgGUA6NLw09EwE0CqkOc4q9oUmW1yo/edit?usp=sharing"",""พิษณุโลก!M250"")"),0)</f>
        <v>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IFERROR(__xludf.DUMMYFUNCTION("IMPORTRANGE(""https://docs.google.com/spreadsheets/d/11923uPwbBZFjjGgGUA6NLw09EwE0CqkOc4q9oUmW1yo/edit?usp=sharing"",""พิษณุโลก!M251"")"),0)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IFERROR(__xludf.DUMMYFUNCTION("IMPORTRANGE(""https://docs.google.com/spreadsheets/d/11923uPwbBZFjjGgGUA6NLw09EwE0CqkOc4q9oUmW1yo/edit?usp=sharing"",""พิษณุโลก!M252"")"),0)</f>
        <v>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IFERROR(__xludf.DUMMYFUNCTION("IMPORTRANGE(""https://docs.google.com/spreadsheets/d/11923uPwbBZFjjGgGUA6NLw09EwE0CqkOc4q9oUmW1yo/edit?usp=sharing"",""พิษณุโลก!M253"")"),0)</f>
        <v>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IFERROR(__xludf.DUMMYFUNCTION("IMPORTRANGE(""https://docs.google.com/spreadsheets/d/11923uPwbBZFjjGgGUA6NLw09EwE0CqkOc4q9oUmW1yo/edit?usp=sharing"",""พิษณุโลก!J255"")"),0)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IFERROR(__xludf.DUMMYFUNCTION("IMPORTRANGE(""https://docs.google.com/spreadsheets/d/11923uPwbBZFjjGgGUA6NLw09EwE0CqkOc4q9oUmW1yo/edit?usp=sharing"",""พิษณุโลก!J256"")"),0)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IFERROR(__xludf.DUMMYFUNCTION("IMPORTRANGE(""https://docs.google.com/spreadsheets/d/11923uPwbBZFjjGgGUA6NLw09EwE0CqkOc4q9oUmW1yo/edit?usp=sharing"",""พิษณุโลก!J257"")"),0)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IFERROR(__xludf.DUMMYFUNCTION("IMPORTRANGE(""https://docs.google.com/spreadsheets/d/11923uPwbBZFjjGgGUA6NLw09EwE0CqkOc4q9oUmW1yo/edit?usp=sharing"",""พิษณุโลก!J258"")"),0)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IFERROR(__xludf.DUMMYFUNCTION("IMPORTRANGE(""https://docs.google.com/spreadsheets/d/11923uPwbBZFjjGgGUA6NLw09EwE0CqkOc4q9oUmW1yo/edit?usp=sharing"",""พิษณุโลก!J166"")"),0)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IFERROR(__xludf.DUMMYFUNCTION("IMPORTRANGE(""https://docs.google.com/spreadsheets/d/11923uPwbBZFjjGgGUA6NLw09EwE0CqkOc4q9oUmW1yo/edit?usp=sharing"",""พิษณุโลก!J166"")"),0)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IFERROR(__xludf.DUMMYFUNCTION("IMPORTRANGE(""https://docs.google.com/spreadsheets/d/11923uPwbBZFjjGgGUA6NLw09EwE0CqkOc4q9oUmW1yo/edit?usp=sharing"",""พิษณุโลก!J166"")"),0)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IFERROR(__xludf.DUMMYFUNCTION("IMPORTRANGE(""https://docs.google.com/spreadsheets/d/11923uPwbBZFjjGgGUA6NLw09EwE0CqkOc4q9oUmW1yo/edit?usp=sharing"",""พิษณุโลก!J166"")"),0)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IFERROR(__xludf.DUMMYFUNCTION("IMPORTRANGE(""https://docs.google.com/spreadsheets/d/11923uPwbBZFjjGgGUA6NLw09EwE0CqkOc4q9oUmW1yo/edit?usp=sharing"",""พิษณุโลก!I263"")"),0)</f>
        <v>0</v>
      </c>
      <c r="J368" s="187">
        <f ca="1">IFERROR(__xludf.DUMMYFUNCTION("IMPORTRANGE(""https://docs.google.com/spreadsheets/d/11923uPwbBZFjjGgGUA6NLw09EwE0CqkOc4q9oUmW1yo/edit?usp=sharing"",""พิษณุโลก!J263"")"),0)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IFERROR(__xludf.DUMMYFUNCTION("IMPORTRANGE(""https://docs.google.com/spreadsheets/d/11923uPwbBZFjjGgGUA6NLw09EwE0CqkOc4q9oUmW1yo/edit?usp=sharing"",""พิษณุโลก!I164"")"),0)</f>
        <v>0</v>
      </c>
      <c r="J369" s="203">
        <f ca="1">IFERROR(__xludf.DUMMYFUNCTION("IMPORTRANGE(""https://docs.google.com/spreadsheets/d/11923uPwbBZFjjGgGUA6NLw09EwE0CqkOc4q9oUmW1yo/edit?usp=sharing"",""พิษณุโลก!J164"")"),0)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IFERROR(__xludf.DUMMYFUNCTION("IMPORTRANGE(""https://docs.google.com/spreadsheets/d/11923uPwbBZFjjGgGUA6NLw09EwE0CqkOc4q9oUmW1yo/edit?usp=sharing"",""พิษณุโลก!I265"")"),0)</f>
        <v>0</v>
      </c>
      <c r="J370" s="203">
        <f ca="1">IFERROR(__xludf.DUMMYFUNCTION("IMPORTRANGE(""https://docs.google.com/spreadsheets/d/11923uPwbBZFjjGgGUA6NLw09EwE0CqkOc4q9oUmW1yo/edit?usp=sharing"",""พิษณุโลก!J265"")"),0)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IFERROR(__xludf.DUMMYFUNCTION("IMPORTRANGE(""https://docs.google.com/spreadsheets/d/11923uPwbBZFjjGgGUA6NLw09EwE0CqkOc4q9oUmW1yo/edit?usp=sharing"",""พิษณุโลก!I164"")"),0)</f>
        <v>0</v>
      </c>
      <c r="J371" s="188">
        <f ca="1">IFERROR(__xludf.DUMMYFUNCTION("IMPORTRANGE(""https://docs.google.com/spreadsheets/d/11923uPwbBZFjjGgGUA6NLw09EwE0CqkOc4q9oUmW1yo/edit?usp=sharing"",""พิษณุโลก!J164"")"),0)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IFERROR(__xludf.DUMMYFUNCTION("IMPORTRANGE(""https://docs.google.com/spreadsheets/d/11923uPwbBZFjjGgGUA6NLw09EwE0CqkOc4q9oUmW1yo/edit?usp=sharing"",""พิษณุโลก!I267"")"),0)</f>
        <v>0</v>
      </c>
      <c r="J372" s="188">
        <f ca="1">IFERROR(__xludf.DUMMYFUNCTION("IMPORTRANGE(""https://docs.google.com/spreadsheets/d/11923uPwbBZFjjGgGUA6NLw09EwE0CqkOc4q9oUmW1yo/edit?usp=sharing"",""พิษณุโลก!J267"")"),0)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IFERROR(__xludf.DUMMYFUNCTION("IMPORTRANGE(""https://docs.google.com/spreadsheets/d/11923uPwbBZFjjGgGUA6NLw09EwE0CqkOc4q9oUmW1yo/edit?usp=sharing"",""พิษณุโลก!I164"")"),0)</f>
        <v>0</v>
      </c>
      <c r="J373" s="203">
        <f ca="1">IFERROR(__xludf.DUMMYFUNCTION("IMPORTRANGE(""https://docs.google.com/spreadsheets/d/11923uPwbBZFjjGgGUA6NLw09EwE0CqkOc4q9oUmW1yo/edit?usp=sharing"",""พิษณุโลก!J164"")"),0)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IFERROR(__xludf.DUMMYFUNCTION("IMPORTRANGE(""https://docs.google.com/spreadsheets/d/11923uPwbBZFjjGgGUA6NLw09EwE0CqkOc4q9oUmW1yo/edit?usp=sharing"",""พิษณุโลก!I164"")"),0)</f>
        <v>0</v>
      </c>
      <c r="J374" s="187">
        <f ca="1">IFERROR(__xludf.DUMMYFUNCTION("IMPORTRANGE(""https://docs.google.com/spreadsheets/d/11923uPwbBZFjjGgGUA6NLw09EwE0CqkOc4q9oUmW1yo/edit?usp=sharing"",""พิษณุโลก!J164"")"),0)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IFERROR(__xludf.DUMMYFUNCTION("IMPORTRANGE(""https://docs.google.com/spreadsheets/d/11923uPwbBZFjjGgGUA6NLw09EwE0CqkOc4q9oUmW1yo/edit?usp=sharing"",""พิษณุโลก!I270"")"),0)</f>
        <v>0</v>
      </c>
      <c r="J375" s="187">
        <f ca="1">IFERROR(__xludf.DUMMYFUNCTION("IMPORTRANGE(""https://docs.google.com/spreadsheets/d/11923uPwbBZFjjGgGUA6NLw09EwE0CqkOc4q9oUmW1yo/edit?usp=sharing"",""พิษณุโลก!J270"")"),0)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IFERROR(__xludf.DUMMYFUNCTION("IMPORTRANGE(""https://docs.google.com/spreadsheets/d/11923uPwbBZFjjGgGUA6NLw09EwE0CqkOc4q9oUmW1yo/edit?usp=sharing"",""พิษณุโลก!I271"")"),0)</f>
        <v>0</v>
      </c>
      <c r="J376" s="188">
        <f ca="1">IFERROR(__xludf.DUMMYFUNCTION("IMPORTRANGE(""https://docs.google.com/spreadsheets/d/11923uPwbBZFjjGgGUA6NLw09EwE0CqkOc4q9oUmW1yo/edit?usp=sharing"",""พิษณุโลก!J271"")"),0)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IFERROR(__xludf.DUMMYFUNCTION("IMPORTRANGE(""https://docs.google.com/spreadsheets/d/11923uPwbBZFjjGgGUA6NLw09EwE0CqkOc4q9oUmW1yo/edit?usp=sharing"",""พิษณุโลก!I272"")"),0)</f>
        <v>0</v>
      </c>
      <c r="J377" s="203">
        <f ca="1">IFERROR(__xludf.DUMMYFUNCTION("IMPORTRANGE(""https://docs.google.com/spreadsheets/d/11923uPwbBZFjjGgGUA6NLw09EwE0CqkOc4q9oUmW1yo/edit?usp=sharing"",""พิษณุโลก!J272"")"),0)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IFERROR(__xludf.DUMMYFUNCTION("IMPORTRANGE(""https://docs.google.com/spreadsheets/d/11923uPwbBZFjjGgGUA6NLw09EwE0CqkOc4q9oUmW1yo/edit?usp=sharing"",""พิษณุโลก!J273"")"),0)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IFERROR(__xludf.DUMMYFUNCTION("IMPORTRANGE(""https://docs.google.com/spreadsheets/d/11923uPwbBZFjjGgGUA6NLw09EwE0CqkOc4q9oUmW1yo/edit?usp=sharing"",""พิษณุโลก!J274"")"),0)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IFERROR(__xludf.DUMMYFUNCTION("IMPORTRANGE(""https://docs.google.com/spreadsheets/d/11923uPwbBZFjjGgGUA6NLw09EwE0CqkOc4q9oUmW1yo/edit?usp=sharing"",""พิษณุโลก!I275"")"),1000)</f>
        <v>1000</v>
      </c>
      <c r="J380" s="370">
        <f ca="1">IFERROR(__xludf.DUMMYFUNCTION("IMPORTRANGE(""https://docs.google.com/spreadsheets/d/11923uPwbBZFjjGgGUA6NLw09EwE0CqkOc4q9oUmW1yo/edit?usp=sharing"",""พิษณุโลก!J275"")"),0)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IFERROR(__xludf.DUMMYFUNCTION("IMPORTRANGE(""https://docs.google.com/spreadsheets/d/11923uPwbBZFjjGgGUA6NLw09EwE0CqkOc4q9oUmW1yo/edit?usp=sharing"",""พิษณุโลก!L275"")"),1028520)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IFERROR(__xludf.DUMMYFUNCTION("IMPORTRANGE(""https://docs.google.com/spreadsheets/d/11923uPwbBZFjjGgGUA6NLw09EwE0CqkOc4q9oUmW1yo/edit?usp=sharing"",""พิษณุโลก!M275"")"),225320.09)</f>
        <v>225320.09</v>
      </c>
      <c r="O380" s="372">
        <f ca="1">+IF(L380&gt;0,N380*100/L380,0)</f>
        <v>21.907215221872203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IFERROR(__xludf.DUMMYFUNCTION("IMPORTRANGE(""https://docs.google.com/spreadsheets/d/11923uPwbBZFjjGgGUA6NLw09EwE0CqkOc4q9oUmW1yo/edit?usp=sharing"",""พิษณุโลก!I276"")"),100)</f>
        <v>100</v>
      </c>
      <c r="J381" s="370">
        <f ca="1">IFERROR(__xludf.DUMMYFUNCTION("IMPORTRANGE(""https://docs.google.com/spreadsheets/d/11923uPwbBZFjjGgGUA6NLw09EwE0CqkOc4q9oUmW1yo/edit?usp=sharing"",""พิษณุโลก!J276"")"),100)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IFERROR(__xludf.DUMMYFUNCTION("IMPORTRANGE(""https://docs.google.com/spreadsheets/d/11923uPwbBZFjjGgGUA6NLw09EwE0CqkOc4q9oUmW1yo/edit?usp=sharing"",""พิษณุโลก!L277"")"),0)</f>
        <v>0</v>
      </c>
      <c r="M382" s="164"/>
      <c r="N382" s="164">
        <f ca="1">IFERROR(__xludf.DUMMYFUNCTION("IMPORTRANGE(""https://docs.google.com/spreadsheets/d/11923uPwbBZFjjGgGUA6NLw09EwE0CqkOc4q9oUmW1yo/edit?usp=sharing"",""พิษณุโลก!M277"")"),0)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IFERROR(__xludf.DUMMYFUNCTION("IMPORTRANGE(""https://docs.google.com/spreadsheets/d/11923uPwbBZFjjGgGUA6NLw09EwE0CqkOc4q9oUmW1yo/edit?usp=sharing"",""พิษณุโลก!L278"")"),1028520)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IFERROR(__xludf.DUMMYFUNCTION("IMPORTRANGE(""https://docs.google.com/spreadsheets/d/11923uPwbBZFjjGgGUA6NLw09EwE0CqkOc4q9oUmW1yo/edit?usp=sharing"",""พิษณุโลก!M278"")"),225320.09)</f>
        <v>225320.09</v>
      </c>
      <c r="O383" s="165">
        <f t="shared" ca="1" si="109"/>
        <v>21.907215221872203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IFERROR(__xludf.DUMMYFUNCTION("IMPORTRANGE(""https://docs.google.com/spreadsheets/d/11923uPwbBZFjjGgGUA6NLw09EwE0CqkOc4q9oUmW1yo/edit?usp=sharing"",""พิษณุโลก!L279"")"),0)</f>
        <v>0</v>
      </c>
      <c r="M384" s="168"/>
      <c r="N384" s="168">
        <f ca="1">IFERROR(__xludf.DUMMYFUNCTION("IMPORTRANGE(""https://docs.google.com/spreadsheets/d/11923uPwbBZFjjGgGUA6NLw09EwE0CqkOc4q9oUmW1yo/edit?usp=sharing"",""พิษณุโลก!M279"")"),0)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IFERROR(__xludf.DUMMYFUNCTION("IMPORTRANGE(""https://docs.google.com/spreadsheets/d/11923uPwbBZFjjGgGUA6NLw09EwE0CqkOc4q9oUmW1yo/edit?usp=sharing"",""พิษณุโลก!L280"")"),1028520)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IFERROR(__xludf.DUMMYFUNCTION("IMPORTRANGE(""https://docs.google.com/spreadsheets/d/11923uPwbBZFjjGgGUA6NLw09EwE0CqkOc4q9oUmW1yo/edit?usp=sharing"",""พิษณุโลก!M280"")"),225320.09)</f>
        <v>225320.09</v>
      </c>
      <c r="O385" s="168">
        <f t="shared" ca="1" si="109"/>
        <v>21.907215221872203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IFERROR(__xludf.DUMMYFUNCTION("IMPORTRANGE(""https://docs.google.com/spreadsheets/d/11923uPwbBZFjjGgGUA6NLw09EwE0CqkOc4q9oUmW1yo/edit?usp=sharing"",""พิษณุโลก!M281"")"),155020)</f>
        <v>155020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IFERROR(__xludf.DUMMYFUNCTION("IMPORTRANGE(""https://docs.google.com/spreadsheets/d/11923uPwbBZFjjGgGUA6NLw09EwE0CqkOc4q9oUmW1yo/edit?usp=sharing"",""พิษณุโลก!M282"")"),0)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IFERROR(__xludf.DUMMYFUNCTION("IMPORTRANGE(""https://docs.google.com/spreadsheets/d/11923uPwbBZFjjGgGUA6NLw09EwE0CqkOc4q9oUmW1yo/edit?usp=sharing"",""พิษณุโลก!M283"")"),64900.09)</f>
        <v>64900.09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IFERROR(__xludf.DUMMYFUNCTION("IMPORTRANGE(""https://docs.google.com/spreadsheets/d/11923uPwbBZFjjGgGUA6NLw09EwE0CqkOc4q9oUmW1yo/edit?usp=sharing"",""พิษณุโลก!M284"")"),5400)</f>
        <v>5400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IFERROR(__xludf.DUMMYFUNCTION("IMPORTRANGE(""https://docs.google.com/spreadsheets/d/11923uPwbBZFjjGgGUA6NLw09EwE0CqkOc4q9oUmW1yo/edit?usp=sharing"",""พิษณุโลก!J286"")"),0)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IFERROR(__xludf.DUMMYFUNCTION("IMPORTRANGE(""https://docs.google.com/spreadsheets/d/11923uPwbBZFjjGgGUA6NLw09EwE0CqkOc4q9oUmW1yo/edit?usp=sharing"",""พิษณุโลก!J287"")"),1)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IFERROR(__xludf.DUMMYFUNCTION("IMPORTRANGE(""https://docs.google.com/spreadsheets/d/11923uPwbBZFjjGgGUA6NLw09EwE0CqkOc4q9oUmW1yo/edit?usp=sharing"",""พิษณุโลก!J288"")"),1)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IFERROR(__xludf.DUMMYFUNCTION("IMPORTRANGE(""https://docs.google.com/spreadsheets/d/11923uPwbBZFjjGgGUA6NLw09EwE0CqkOc4q9oUmW1yo/edit?usp=sharing"",""พิษณุโลก!J289"")"),1)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IFERROR(__xludf.DUMMYFUNCTION("IMPORTRANGE(""https://docs.google.com/spreadsheets/d/11923uPwbBZFjjGgGUA6NLw09EwE0CqkOc4q9oUmW1yo/edit?usp=sharing"",""พิษณุโลก!I291"")"),100)</f>
        <v>100</v>
      </c>
      <c r="J396" s="197">
        <f ca="1">IFERROR(__xludf.DUMMYFUNCTION("IMPORTRANGE(""https://docs.google.com/spreadsheets/d/11923uPwbBZFjjGgGUA6NLw09EwE0CqkOc4q9oUmW1yo/edit?usp=sharing"",""พิษณุโลก!J291"")"),100)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IFERROR(__xludf.DUMMYFUNCTION("IMPORTRANGE(""https://docs.google.com/spreadsheets/d/11923uPwbBZFjjGgGUA6NLw09EwE0CqkOc4q9oUmW1yo/edit?usp=sharing"",""พิษณุโลก!I292"")"),1000)</f>
        <v>1000</v>
      </c>
      <c r="J397" s="197">
        <f ca="1">IFERROR(__xludf.DUMMYFUNCTION("IMPORTRANGE(""https://docs.google.com/spreadsheets/d/11923uPwbBZFjjGgGUA6NLw09EwE0CqkOc4q9oUmW1yo/edit?usp=sharing"",""พิษณุโลก!J292"")"),0)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IFERROR(__xludf.DUMMYFUNCTION("IMPORTRANGE(""https://docs.google.com/spreadsheets/d/11923uPwbBZFjjGgGUA6NLw09EwE0CqkOc4q9oUmW1yo/edit?usp=sharing"",""พิษณุโลก!I293"")"),100)</f>
        <v>100</v>
      </c>
      <c r="J398" s="197">
        <f ca="1">IFERROR(__xludf.DUMMYFUNCTION("IMPORTRANGE(""https://docs.google.com/spreadsheets/d/11923uPwbBZFjjGgGUA6NLw09EwE0CqkOc4q9oUmW1yo/edit?usp=sharing"",""พิษณุโลก!J293"")"),0)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IFERROR(__xludf.DUMMYFUNCTION("IMPORTRANGE(""https://docs.google.com/spreadsheets/d/11923uPwbBZFjjGgGUA6NLw09EwE0CqkOc4q9oUmW1yo/edit?usp=sharing"",""พิษณุโลก!J294"")"),0)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IFERROR(__xludf.DUMMYFUNCTION("IMPORTRANGE(""https://docs.google.com/spreadsheets/d/11923uPwbBZFjjGgGUA6NLw09EwE0CqkOc4q9oUmW1yo/edit?usp=sharing"",""พิษณุโลก!J295"")"),0)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IFERROR(__xludf.DUMMYFUNCTION("IMPORTRANGE(""https://docs.google.com/spreadsheets/d/11923uPwbBZFjjGgGUA6NLw09EwE0CqkOc4q9oUmW1yo/edit?usp=sharing"",""พิษณุโลก!I296"")"),225)</f>
        <v>225</v>
      </c>
      <c r="J401" s="370">
        <f ca="1">IFERROR(__xludf.DUMMYFUNCTION("IMPORTRANGE(""https://docs.google.com/spreadsheets/d/11923uPwbBZFjjGgGUA6NLw09EwE0CqkOc4q9oUmW1yo/edit?usp=sharing"",""พิษณุโลก!J296"")"),225)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IFERROR(__xludf.DUMMYFUNCTION("IMPORTRANGE(""https://docs.google.com/spreadsheets/d/11923uPwbBZFjjGgGUA6NLw09EwE0CqkOc4q9oUmW1yo/edit?usp=sharing"",""พิษณุโลก!L296"")"),252320)</f>
        <v>252320</v>
      </c>
      <c r="M401" s="372"/>
      <c r="N401" s="372">
        <f ca="1">IFERROR(__xludf.DUMMYFUNCTION("IMPORTRANGE(""https://docs.google.com/spreadsheets/d/11923uPwbBZFjjGgGUA6NLw09EwE0CqkOc4q9oUmW1yo/edit?usp=sharing"",""พิษณุโลก!M296"")"),91016)</f>
        <v>91016</v>
      </c>
      <c r="O401" s="372">
        <f ca="1">+IF(L401&gt;0,N401*100/L401,0)</f>
        <v>36.071655041217504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IFERROR(__xludf.DUMMYFUNCTION("IMPORTRANGE(""https://docs.google.com/spreadsheets/d/11923uPwbBZFjjGgGUA6NLw09EwE0CqkOc4q9oUmW1yo/edit?usp=sharing"",""พิษณุโลก!I297"")"),75)</f>
        <v>75</v>
      </c>
      <c r="J402" s="370">
        <f ca="1">IFERROR(__xludf.DUMMYFUNCTION("IMPORTRANGE(""https://docs.google.com/spreadsheets/d/11923uPwbBZFjjGgGUA6NLw09EwE0CqkOc4q9oUmW1yo/edit?usp=sharing"",""พิษณุโลก!J297"")"),75)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IFERROR(__xludf.DUMMYFUNCTION("IMPORTRANGE(""https://docs.google.com/spreadsheets/d/11923uPwbBZFjjGgGUA6NLw09EwE0CqkOc4q9oUmW1yo/edit?usp=sharing"",""พิษณุโลก!L298"")"),0)</f>
        <v>0</v>
      </c>
      <c r="M403" s="164"/>
      <c r="N403" s="168">
        <f ca="1">IFERROR(__xludf.DUMMYFUNCTION("IMPORTRANGE(""https://docs.google.com/spreadsheets/d/11923uPwbBZFjjGgGUA6NLw09EwE0CqkOc4q9oUmW1yo/edit?usp=sharing"",""พิษณุโลก!M298"")"),0)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IFERROR(__xludf.DUMMYFUNCTION("IMPORTRANGE(""https://docs.google.com/spreadsheets/d/11923uPwbBZFjjGgGUA6NLw09EwE0CqkOc4q9oUmW1yo/edit?usp=sharing"",""พิษณุโลก!L299"")"),252320)</f>
        <v>252320</v>
      </c>
      <c r="M404" s="165"/>
      <c r="N404" s="168">
        <f ca="1">IFERROR(__xludf.DUMMYFUNCTION("IMPORTRANGE(""https://docs.google.com/spreadsheets/d/11923uPwbBZFjjGgGUA6NLw09EwE0CqkOc4q9oUmW1yo/edit?usp=sharing"",""พิษณุโลก!M299"")"),91016)</f>
        <v>91016</v>
      </c>
      <c r="O404" s="168">
        <f t="shared" ca="1" si="112"/>
        <v>36.071655041217504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IFERROR(__xludf.DUMMYFUNCTION("IMPORTRANGE(""https://docs.google.com/spreadsheets/d/11923uPwbBZFjjGgGUA6NLw09EwE0CqkOc4q9oUmW1yo/edit?usp=sharing"",""พิษณุโลก!L300"")"),0)</f>
        <v>0</v>
      </c>
      <c r="M405" s="168"/>
      <c r="N405" s="168">
        <f ca="1">IFERROR(__xludf.DUMMYFUNCTION("IMPORTRANGE(""https://docs.google.com/spreadsheets/d/11923uPwbBZFjjGgGUA6NLw09EwE0CqkOc4q9oUmW1yo/edit?usp=sharing"",""พิษณุโลก!M300"")"),0)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IFERROR(__xludf.DUMMYFUNCTION("IMPORTRANGE(""https://docs.google.com/spreadsheets/d/11923uPwbBZFjjGgGUA6NLw09EwE0CqkOc4q9oUmW1yo/edit?usp=sharing"",""พิษณุโลก!L301"")"),252320)</f>
        <v>252320</v>
      </c>
      <c r="M406" s="168"/>
      <c r="N406" s="168">
        <f ca="1">IFERROR(__xludf.DUMMYFUNCTION("IMPORTRANGE(""https://docs.google.com/spreadsheets/d/11923uPwbBZFjjGgGUA6NLw09EwE0CqkOc4q9oUmW1yo/edit?usp=sharing"",""พิษณุโลก!M301"")"),91016)</f>
        <v>91016</v>
      </c>
      <c r="O406" s="168">
        <f t="shared" ca="1" si="112"/>
        <v>36.071655041217504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IFERROR(__xludf.DUMMYFUNCTION("IMPORTRANGE(""https://docs.google.com/spreadsheets/d/11923uPwbBZFjjGgGUA6NLw09EwE0CqkOc4q9oUmW1yo/edit?usp=sharing"",""พิษณุโลก!M302"")"),90276)</f>
        <v>90276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IFERROR(__xludf.DUMMYFUNCTION("IMPORTRANGE(""https://docs.google.com/spreadsheets/d/11923uPwbBZFjjGgGUA6NLw09EwE0CqkOc4q9oUmW1yo/edit?usp=sharing"",""พิษณุโลก!M303"")"),0)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IFERROR(__xludf.DUMMYFUNCTION("IMPORTRANGE(""https://docs.google.com/spreadsheets/d/11923uPwbBZFjjGgGUA6NLw09EwE0CqkOc4q9oUmW1yo/edit?usp=sharing"",""พิษณุโลก!M304"")"),0)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IFERROR(__xludf.DUMMYFUNCTION("IMPORTRANGE(""https://docs.google.com/spreadsheets/d/11923uPwbBZFjjGgGUA6NLw09EwE0CqkOc4q9oUmW1yo/edit?usp=sharing"",""พิษณุโลก!M305"")"),740)</f>
        <v>740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IFERROR(__xludf.DUMMYFUNCTION("IMPORTRANGE(""https://docs.google.com/spreadsheets/d/11923uPwbBZFjjGgGUA6NLw09EwE0CqkOc4q9oUmW1yo/edit?usp=sharing"",""พิษณุโลก!J307"")"),0)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IFERROR(__xludf.DUMMYFUNCTION("IMPORTRANGE(""https://docs.google.com/spreadsheets/d/11923uPwbBZFjjGgGUA6NLw09EwE0CqkOc4q9oUmW1yo/edit?usp=sharing"",""พิษณุโลก!J308"")"),1)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IFERROR(__xludf.DUMMYFUNCTION("IMPORTRANGE(""https://docs.google.com/spreadsheets/d/11923uPwbBZFjjGgGUA6NLw09EwE0CqkOc4q9oUmW1yo/edit?usp=sharing"",""พิษณุโลก!J309"")"),1)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IFERROR(__xludf.DUMMYFUNCTION("IMPORTRANGE(""https://docs.google.com/spreadsheets/d/11923uPwbBZFjjGgGUA6NLw09EwE0CqkOc4q9oUmW1yo/edit?usp=sharing"",""พิษณุโลก!J310"")"),1)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IFERROR(__xludf.DUMMYFUNCTION("IMPORTRANGE(""https://docs.google.com/spreadsheets/d/11923uPwbBZFjjGgGUA6NLw09EwE0CqkOc4q9oUmW1yo/edit?usp=sharing"",""พิษณุโลก!I311"")"),75)</f>
        <v>75</v>
      </c>
      <c r="J416" s="200">
        <f ca="1">IFERROR(__xludf.DUMMYFUNCTION("IMPORTRANGE(""https://docs.google.com/spreadsheets/d/11923uPwbBZFjjGgGUA6NLw09EwE0CqkOc4q9oUmW1yo/edit?usp=sharing"",""พิษณุโลก!J311"")"),75)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IFERROR(__xludf.DUMMYFUNCTION("IMPORTRANGE(""https://docs.google.com/spreadsheets/d/11923uPwbBZFjjGgGUA6NLw09EwE0CqkOc4q9oUmW1yo/edit?usp=sharing"",""พิษณุโลก!I312"")"),25)</f>
        <v>25</v>
      </c>
      <c r="J417" s="391">
        <f ca="1">IFERROR(__xludf.DUMMYFUNCTION("IMPORTRANGE(""https://docs.google.com/spreadsheets/d/11923uPwbBZFjjGgGUA6NLw09EwE0CqkOc4q9oUmW1yo/edit?usp=sharing"",""พิษณุโลก!J312"")"),25)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IFERROR(__xludf.DUMMYFUNCTION("IMPORTRANGE(""https://docs.google.com/spreadsheets/d/11923uPwbBZFjjGgGUA6NLw09EwE0CqkOc4q9oUmW1yo/edit?usp=sharing"",""พิษณุโลก!I313"")"),75)</f>
        <v>75</v>
      </c>
      <c r="J418" s="392">
        <f ca="1">IFERROR(__xludf.DUMMYFUNCTION("IMPORTRANGE(""https://docs.google.com/spreadsheets/d/11923uPwbBZFjjGgGUA6NLw09EwE0CqkOc4q9oUmW1yo/edit?usp=sharing"",""พิษณุโลก!J313"")"),75)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IFERROR(__xludf.DUMMYFUNCTION("IMPORTRANGE(""https://docs.google.com/spreadsheets/d/11923uPwbBZFjjGgGUA6NLw09EwE0CqkOc4q9oUmW1yo/edit?usp=sharing"",""พิษณุโลก!I314"")"),25)</f>
        <v>25</v>
      </c>
      <c r="J419" s="393">
        <f ca="1">IFERROR(__xludf.DUMMYFUNCTION("IMPORTRANGE(""https://docs.google.com/spreadsheets/d/11923uPwbBZFjjGgGUA6NLw09EwE0CqkOc4q9oUmW1yo/edit?usp=sharing"",""พิษณุโลก!J314"")"),25)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IFERROR(__xludf.DUMMYFUNCTION("IMPORTRANGE(""https://docs.google.com/spreadsheets/d/11923uPwbBZFjjGgGUA6NLw09EwE0CqkOc4q9oUmW1yo/edit?usp=sharing"",""พิษณุโลก!I315"")"),25)</f>
        <v>25</v>
      </c>
      <c r="J420" s="393">
        <f ca="1">IFERROR(__xludf.DUMMYFUNCTION("IMPORTRANGE(""https://docs.google.com/spreadsheets/d/11923uPwbBZFjjGgGUA6NLw09EwE0CqkOc4q9oUmW1yo/edit?usp=sharing"",""พิษณุโลก!J315"")"),25)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IFERROR(__xludf.DUMMYFUNCTION("IMPORTRANGE(""https://docs.google.com/spreadsheets/d/11923uPwbBZFjjGgGUA6NLw09EwE0CqkOc4q9oUmW1yo/edit?usp=sharing"",""พิษณุโลก!I316"")"),40)</f>
        <v>40</v>
      </c>
      <c r="J421" s="391">
        <f ca="1">IFERROR(__xludf.DUMMYFUNCTION("IMPORTRANGE(""https://docs.google.com/spreadsheets/d/11923uPwbBZFjjGgGUA6NLw09EwE0CqkOc4q9oUmW1yo/edit?usp=sharing"",""พิษณุโลก!J316"")"),40)</f>
        <v>40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IFERROR(__xludf.DUMMYFUNCTION("IMPORTRANGE(""https://docs.google.com/spreadsheets/d/11923uPwbBZFjjGgGUA6NLw09EwE0CqkOc4q9oUmW1yo/edit?usp=sharing"",""พิษณุโลก!I317"")"),120)</f>
        <v>120</v>
      </c>
      <c r="J422" s="392">
        <f ca="1">IFERROR(__xludf.DUMMYFUNCTION("IMPORTRANGE(""https://docs.google.com/spreadsheets/d/11923uPwbBZFjjGgGUA6NLw09EwE0CqkOc4q9oUmW1yo/edit?usp=sharing"",""พิษณุโลก!J317"")"),120)</f>
        <v>120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IFERROR(__xludf.DUMMYFUNCTION("IMPORTRANGE(""https://docs.google.com/spreadsheets/d/11923uPwbBZFjjGgGUA6NLw09EwE0CqkOc4q9oUmW1yo/edit?usp=sharing"",""พิษณุโลก!I318"")"),40)</f>
        <v>40</v>
      </c>
      <c r="J423" s="393">
        <f ca="1">IFERROR(__xludf.DUMMYFUNCTION("IMPORTRANGE(""https://docs.google.com/spreadsheets/d/11923uPwbBZFjjGgGUA6NLw09EwE0CqkOc4q9oUmW1yo/edit?usp=sharing"",""พิษณุโลก!J318"")"),40)</f>
        <v>40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IFERROR(__xludf.DUMMYFUNCTION("IMPORTRANGE(""https://docs.google.com/spreadsheets/d/11923uPwbBZFjjGgGUA6NLw09EwE0CqkOc4q9oUmW1yo/edit?usp=sharing"",""พิษณุโลก!I319"")"),40)</f>
        <v>40</v>
      </c>
      <c r="J424" s="393">
        <f ca="1">IFERROR(__xludf.DUMMYFUNCTION("IMPORTRANGE(""https://docs.google.com/spreadsheets/d/11923uPwbBZFjjGgGUA6NLw09EwE0CqkOc4q9oUmW1yo/edit?usp=sharing"",""พิษณุโลก!J319"")"),40)</f>
        <v>40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IFERROR(__xludf.DUMMYFUNCTION("IMPORTRANGE(""https://docs.google.com/spreadsheets/d/11923uPwbBZFjjGgGUA6NLw09EwE0CqkOc4q9oUmW1yo/edit?usp=sharing"",""พิษณุโลก!I320"")"),40)</f>
        <v>40</v>
      </c>
      <c r="J425" s="393">
        <f ca="1">IFERROR(__xludf.DUMMYFUNCTION("IMPORTRANGE(""https://docs.google.com/spreadsheets/d/11923uPwbBZFjjGgGUA6NLw09EwE0CqkOc4q9oUmW1yo/edit?usp=sharing"",""พิษณุโลก!J320"")"),40)</f>
        <v>40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IFERROR(__xludf.DUMMYFUNCTION("IMPORTRANGE(""https://docs.google.com/spreadsheets/d/11923uPwbBZFjjGgGUA6NLw09EwE0CqkOc4q9oUmW1yo/edit?usp=sharing"",""พิษณุโลก!I321"")"),10)</f>
        <v>10</v>
      </c>
      <c r="J426" s="391">
        <f ca="1">IFERROR(__xludf.DUMMYFUNCTION("IMPORTRANGE(""https://docs.google.com/spreadsheets/d/11923uPwbBZFjjGgGUA6NLw09EwE0CqkOc4q9oUmW1yo/edit?usp=sharing"",""พิษณุโลก!J321"")"),10)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IFERROR(__xludf.DUMMYFUNCTION("IMPORTRANGE(""https://docs.google.com/spreadsheets/d/11923uPwbBZFjjGgGUA6NLw09EwE0CqkOc4q9oUmW1yo/edit?usp=sharing"",""พิษณุโลก!I322"")"),30)</f>
        <v>30</v>
      </c>
      <c r="J427" s="392">
        <f ca="1">IFERROR(__xludf.DUMMYFUNCTION("IMPORTRANGE(""https://docs.google.com/spreadsheets/d/11923uPwbBZFjjGgGUA6NLw09EwE0CqkOc4q9oUmW1yo/edit?usp=sharing"",""พิษณุโลก!J322"")"),30)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IFERROR(__xludf.DUMMYFUNCTION("IMPORTRANGE(""https://docs.google.com/spreadsheets/d/11923uPwbBZFjjGgGUA6NLw09EwE0CqkOc4q9oUmW1yo/edit?usp=sharing"",""พิษณุโลก!I323"")"),10)</f>
        <v>10</v>
      </c>
      <c r="J428" s="393">
        <f ca="1">IFERROR(__xludf.DUMMYFUNCTION("IMPORTRANGE(""https://docs.google.com/spreadsheets/d/11923uPwbBZFjjGgGUA6NLw09EwE0CqkOc4q9oUmW1yo/edit?usp=sharing"",""พิษณุโลก!J323"")"),10)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IFERROR(__xludf.DUMMYFUNCTION("IMPORTRANGE(""https://docs.google.com/spreadsheets/d/11923uPwbBZFjjGgGUA6NLw09EwE0CqkOc4q9oUmW1yo/edit?usp=sharing"",""พิษณุโลก!I324"")"),10)</f>
        <v>10</v>
      </c>
      <c r="J429" s="393">
        <f ca="1">IFERROR(__xludf.DUMMYFUNCTION("IMPORTRANGE(""https://docs.google.com/spreadsheets/d/11923uPwbBZFjjGgGUA6NLw09EwE0CqkOc4q9oUmW1yo/edit?usp=sharing"",""พิษณุโลก!J324"")"),10)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IFERROR(__xludf.DUMMYFUNCTION("IMPORTRANGE(""https://docs.google.com/spreadsheets/d/11923uPwbBZFjjGgGUA6NLw09EwE0CqkOc4q9oUmW1yo/edit?usp=sharing"",""พิษณุโลก!I325"")"),65)</f>
        <v>65</v>
      </c>
      <c r="J430" s="391">
        <f ca="1">IFERROR(__xludf.DUMMYFUNCTION("IMPORTRANGE(""https://docs.google.com/spreadsheets/d/11923uPwbBZFjjGgGUA6NLw09EwE0CqkOc4q9oUmW1yo/edit?usp=sharing"",""พิษณุโลก!J325"")"),0)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IFERROR(__xludf.DUMMYFUNCTION("IMPORTRANGE(""https://docs.google.com/spreadsheets/d/11923uPwbBZFjjGgGUA6NLw09EwE0CqkOc4q9oUmW1yo/edit?usp=sharing"",""พิษณุโลก!I326"")"),25)</f>
        <v>25</v>
      </c>
      <c r="J431" s="393">
        <f ca="1">IFERROR(__xludf.DUMMYFUNCTION("IMPORTRANGE(""https://docs.google.com/spreadsheets/d/11923uPwbBZFjjGgGUA6NLw09EwE0CqkOc4q9oUmW1yo/edit?usp=sharing"",""พิษณุโลก!J326"")"),0)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IFERROR(__xludf.DUMMYFUNCTION("IMPORTRANGE(""https://docs.google.com/spreadsheets/d/11923uPwbBZFjjGgGUA6NLw09EwE0CqkOc4q9oUmW1yo/edit?usp=sharing"",""พิษณุโลก!I327"")"),40)</f>
        <v>40</v>
      </c>
      <c r="J432" s="393">
        <f ca="1">IFERROR(__xludf.DUMMYFUNCTION("IMPORTRANGE(""https://docs.google.com/spreadsheets/d/11923uPwbBZFjjGgGUA6NLw09EwE0CqkOc4q9oUmW1yo/edit?usp=sharing"",""พิษณุโลก!J327"")"),0)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IFERROR(__xludf.DUMMYFUNCTION("IMPORTRANGE(""https://docs.google.com/spreadsheets/d/11923uPwbBZFjjGgGUA6NLw09EwE0CqkOc4q9oUmW1yo/edit?usp=sharing"",""พิษณุโลก!J328"")"),0)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IFERROR(__xludf.DUMMYFUNCTION("IMPORTRANGE(""https://docs.google.com/spreadsheets/d/11923uPwbBZFjjGgGUA6NLw09EwE0CqkOc4q9oUmW1yo/edit?usp=sharing"",""พิษณุโลก!J329"")"),0)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IFERROR(__xludf.DUMMYFUNCTION("IMPORTRANGE(""https://docs.google.com/spreadsheets/d/11923uPwbBZFjjGgGUA6NLw09EwE0CqkOc4q9oUmW1yo/edit?usp=sharing"",""พิษณุโลก!I330"")"),20)</f>
        <v>20</v>
      </c>
      <c r="J435" s="409">
        <f ca="1">IFERROR(__xludf.DUMMYFUNCTION("IMPORTRANGE(""https://docs.google.com/spreadsheets/d/11923uPwbBZFjjGgGUA6NLw09EwE0CqkOc4q9oUmW1yo/edit?usp=sharing"",""พิษณุโลก!J330"")"),20)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IFERROR(__xludf.DUMMYFUNCTION("IMPORTRANGE(""https://docs.google.com/spreadsheets/d/11923uPwbBZFjjGgGUA6NLw09EwE0CqkOc4q9oUmW1yo/edit?usp=sharing"",""พิษณุโลก!L330"")"),100000)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IFERROR(__xludf.DUMMYFUNCTION("IMPORTRANGE(""https://docs.google.com/spreadsheets/d/11923uPwbBZFjjGgGUA6NLw09EwE0CqkOc4q9oUmW1yo/edit?usp=sharing"",""พิษณุโลก!M330"")"),15915)</f>
        <v>15915</v>
      </c>
      <c r="O435" s="411">
        <f t="shared" ref="O435:O439" ca="1" si="114">+IF(L435&gt;0,N435*100/L435,0)</f>
        <v>15.914999999999999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IFERROR(__xludf.DUMMYFUNCTION("IMPORTRANGE(""https://docs.google.com/spreadsheets/d/11923uPwbBZFjjGgGUA6NLw09EwE0CqkOc4q9oUmW1yo/edit?usp=sharing"",""พิษณุโลก!L331"")"),0)</f>
        <v>0</v>
      </c>
      <c r="M436" s="164"/>
      <c r="N436" s="168">
        <f ca="1">IFERROR(__xludf.DUMMYFUNCTION("IMPORTRANGE(""https://docs.google.com/spreadsheets/d/11923uPwbBZFjjGgGUA6NLw09EwE0CqkOc4q9oUmW1yo/edit?usp=sharing"",""พิษณุโลก!M331"")"),0)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IFERROR(__xludf.DUMMYFUNCTION("IMPORTRANGE(""https://docs.google.com/spreadsheets/d/11923uPwbBZFjjGgGUA6NLw09EwE0CqkOc4q9oUmW1yo/edit?usp=sharing"",""พิษณุโลก!L332"")"),100000)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IFERROR(__xludf.DUMMYFUNCTION("IMPORTRANGE(""https://docs.google.com/spreadsheets/d/11923uPwbBZFjjGgGUA6NLw09EwE0CqkOc4q9oUmW1yo/edit?usp=sharing"",""พิษณุโลก!M332"")"),15915)</f>
        <v>15915</v>
      </c>
      <c r="O437" s="168">
        <f t="shared" ca="1" si="114"/>
        <v>15.914999999999999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IFERROR(__xludf.DUMMYFUNCTION("IMPORTRANGE(""https://docs.google.com/spreadsheets/d/11923uPwbBZFjjGgGUA6NLw09EwE0CqkOc4q9oUmW1yo/edit?usp=sharing"",""พิษณุโลก!L333"")"),0)</f>
        <v>0</v>
      </c>
      <c r="M438" s="168"/>
      <c r="N438" s="168">
        <f ca="1">IFERROR(__xludf.DUMMYFUNCTION("IMPORTRANGE(""https://docs.google.com/spreadsheets/d/11923uPwbBZFjjGgGUA6NLw09EwE0CqkOc4q9oUmW1yo/edit?usp=sharing"",""พิษณุโลก!M333"")"),0)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IFERROR(__xludf.DUMMYFUNCTION("IMPORTRANGE(""https://docs.google.com/spreadsheets/d/11923uPwbBZFjjGgGUA6NLw09EwE0CqkOc4q9oUmW1yo/edit?usp=sharing"",""พิษณุโลก!L334"")"),100000)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IFERROR(__xludf.DUMMYFUNCTION("IMPORTRANGE(""https://docs.google.com/spreadsheets/d/11923uPwbBZFjjGgGUA6NLw09EwE0CqkOc4q9oUmW1yo/edit?usp=sharing"",""พิษณุโลก!M334"")"),15915)</f>
        <v>15915</v>
      </c>
      <c r="O439" s="168">
        <f t="shared" ca="1" si="114"/>
        <v>15.914999999999999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IFERROR(__xludf.DUMMYFUNCTION("IMPORTRANGE(""https://docs.google.com/spreadsheets/d/11923uPwbBZFjjGgGUA6NLw09EwE0CqkOc4q9oUmW1yo/edit?usp=sharing"",""พิษณุโลก!M335"")"),6860)</f>
        <v>6860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IFERROR(__xludf.DUMMYFUNCTION("IMPORTRANGE(""https://docs.google.com/spreadsheets/d/11923uPwbBZFjjGgGUA6NLw09EwE0CqkOc4q9oUmW1yo/edit?usp=sharing"",""พิษณุโลก!M336"")"),0)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IFERROR(__xludf.DUMMYFUNCTION("IMPORTRANGE(""https://docs.google.com/spreadsheets/d/11923uPwbBZFjjGgGUA6NLw09EwE0CqkOc4q9oUmW1yo/edit?usp=sharing"",""พิษณุโลก!M337"")"),0)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IFERROR(__xludf.DUMMYFUNCTION("IMPORTRANGE(""https://docs.google.com/spreadsheets/d/11923uPwbBZFjjGgGUA6NLw09EwE0CqkOc4q9oUmW1yo/edit?usp=sharing"",""พิษณุโลก!M338"")"),9055)</f>
        <v>9055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IFERROR(__xludf.DUMMYFUNCTION("IMPORTRANGE(""https://docs.google.com/spreadsheets/d/11923uPwbBZFjjGgGUA6NLw09EwE0CqkOc4q9oUmW1yo/edit?usp=sharing"",""พิษณุโลก!J340"")"),0)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IFERROR(__xludf.DUMMYFUNCTION("IMPORTRANGE(""https://docs.google.com/spreadsheets/d/11923uPwbBZFjjGgGUA6NLw09EwE0CqkOc4q9oUmW1yo/edit?usp=sharing"",""พิษณุโลก!J341"")"),1)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IFERROR(__xludf.DUMMYFUNCTION("IMPORTRANGE(""https://docs.google.com/spreadsheets/d/11923uPwbBZFjjGgGUA6NLw09EwE0CqkOc4q9oUmW1yo/edit?usp=sharing"",""พิษณุโลก!J342"")"),1)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IFERROR(__xludf.DUMMYFUNCTION("IMPORTRANGE(""https://docs.google.com/spreadsheets/d/11923uPwbBZFjjGgGUA6NLw09EwE0CqkOc4q9oUmW1yo/edit?usp=sharing"",""พิษณุโลก!J343"")"),1)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IFERROR(__xludf.DUMMYFUNCTION("IMPORTRANGE(""https://docs.google.com/spreadsheets/d/11923uPwbBZFjjGgGUA6NLw09EwE0CqkOc4q9oUmW1yo/edit?usp=sharing"",""พิษณุโลก!I344"")"),20)</f>
        <v>20</v>
      </c>
      <c r="J449" s="200">
        <f ca="1">IFERROR(__xludf.DUMMYFUNCTION("IMPORTRANGE(""https://docs.google.com/spreadsheets/d/11923uPwbBZFjjGgGUA6NLw09EwE0CqkOc4q9oUmW1yo/edit?usp=sharing"",""พิษณุโลก!J344"")"),20)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IFERROR(__xludf.DUMMYFUNCTION("IMPORTRANGE(""https://docs.google.com/spreadsheets/d/11923uPwbBZFjjGgGUA6NLw09EwE0CqkOc4q9oUmW1yo/edit?usp=sharing"",""พิษณุโลก!I345"")"),20)</f>
        <v>20</v>
      </c>
      <c r="J450" s="188">
        <f ca="1">IFERROR(__xludf.DUMMYFUNCTION("IMPORTRANGE(""https://docs.google.com/spreadsheets/d/11923uPwbBZFjjGgGUA6NLw09EwE0CqkOc4q9oUmW1yo/edit?usp=sharing"",""พิษณุโลก!J345"")"),20)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IFERROR(__xludf.DUMMYFUNCTION("IMPORTRANGE(""https://docs.google.com/spreadsheets/d/11923uPwbBZFjjGgGUA6NLw09EwE0CqkOc4q9oUmW1yo/edit?usp=sharing"",""พิษณุโลก!I346"")"),0)</f>
        <v>0</v>
      </c>
      <c r="J451" s="187">
        <f ca="1">IFERROR(__xludf.DUMMYFUNCTION("IMPORTRANGE(""https://docs.google.com/spreadsheets/d/11923uPwbBZFjjGgGUA6NLw09EwE0CqkOc4q9oUmW1yo/edit?usp=sharing"",""พิษณุโลก!J346"")"),0)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IFERROR(__xludf.DUMMYFUNCTION("IMPORTRANGE(""https://docs.google.com/spreadsheets/d/11923uPwbBZFjjGgGUA6NLw09EwE0CqkOc4q9oUmW1yo/edit?usp=sharing"",""พิษณุโลก!I347"")"),0)</f>
        <v>0</v>
      </c>
      <c r="J452" s="187">
        <f ca="1">IFERROR(__xludf.DUMMYFUNCTION("IMPORTRANGE(""https://docs.google.com/spreadsheets/d/11923uPwbBZFjjGgGUA6NLw09EwE0CqkOc4q9oUmW1yo/edit?usp=sharing"",""พิษณุโลก!J347"")"),0)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IFERROR(__xludf.DUMMYFUNCTION("IMPORTRANGE(""https://docs.google.com/spreadsheets/d/11923uPwbBZFjjGgGUA6NLw09EwE0CqkOc4q9oUmW1yo/edit?usp=sharing"",""พิษณุโลก!J348"")"),0)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IFERROR(__xludf.DUMMYFUNCTION("IMPORTRANGE(""https://docs.google.com/spreadsheets/d/11923uPwbBZFjjGgGUA6NLw09EwE0CqkOc4q9oUmW1yo/edit?usp=sharing"",""พิษณุโลก!J349"")"),0)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IFERROR(__xludf.DUMMYFUNCTION("IMPORTRANGE(""https://docs.google.com/spreadsheets/d/11923uPwbBZFjjGgGUA6NLw09EwE0CqkOc4q9oUmW1yo/edit?usp=sharing"",""พิษณุโลก!I350"")"),63132)</f>
        <v>63132</v>
      </c>
      <c r="J455" s="370">
        <f ca="1">IFERROR(__xludf.DUMMYFUNCTION("IMPORTRANGE(""https://docs.google.com/spreadsheets/d/11923uPwbBZFjjGgGUA6NLw09EwE0CqkOc4q9oUmW1yo/edit?usp=sharing"",""พิษณุโลก!J350"")"),55156)</f>
        <v>55156</v>
      </c>
      <c r="K455" s="371">
        <f ca="1">IF(I455&gt;0,J455*100/I455,0)</f>
        <v>87.366153456250402</v>
      </c>
      <c r="L455" s="372">
        <f ca="1">IFERROR(__xludf.DUMMYFUNCTION("IMPORTRANGE(""https://docs.google.com/spreadsheets/d/11923uPwbBZFjjGgGUA6NLw09EwE0CqkOc4q9oUmW1yo/edit?usp=sharing"",""พิษณุโลก!L350"")"),516245)</f>
        <v>516245</v>
      </c>
      <c r="M455" s="372"/>
      <c r="N455" s="372">
        <f ca="1">IFERROR(__xludf.DUMMYFUNCTION("IMPORTRANGE(""https://docs.google.com/spreadsheets/d/11923uPwbBZFjjGgGUA6NLw09EwE0CqkOc4q9oUmW1yo/edit?usp=sharing"",""พิษณุโลก!M350"")"),152604.58)</f>
        <v>152604.57999999999</v>
      </c>
      <c r="O455" s="372">
        <f t="shared" ref="O455:O459" ca="1" si="116">+IF(L455&gt;0,N455*100/L455,0)</f>
        <v>29.560495501167079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IFERROR(__xludf.DUMMYFUNCTION("IMPORTRANGE(""https://docs.google.com/spreadsheets/d/11923uPwbBZFjjGgGUA6NLw09EwE0CqkOc4q9oUmW1yo/edit?usp=sharing"",""พิษณุโลก!L351"")"),0)</f>
        <v>0</v>
      </c>
      <c r="M456" s="164"/>
      <c r="N456" s="168">
        <f ca="1">IFERROR(__xludf.DUMMYFUNCTION("IMPORTRANGE(""https://docs.google.com/spreadsheets/d/11923uPwbBZFjjGgGUA6NLw09EwE0CqkOc4q9oUmW1yo/edit?usp=sharing"",""พิษณุโลก!M351"")"),0)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IFERROR(__xludf.DUMMYFUNCTION("IMPORTRANGE(""https://docs.google.com/spreadsheets/d/11923uPwbBZFjjGgGUA6NLw09EwE0CqkOc4q9oUmW1yo/edit?usp=sharing"",""พิษณุโลก!L352"")"),516245)</f>
        <v>516245</v>
      </c>
      <c r="M457" s="165"/>
      <c r="N457" s="168">
        <f ca="1">IFERROR(__xludf.DUMMYFUNCTION("IMPORTRANGE(""https://docs.google.com/spreadsheets/d/11923uPwbBZFjjGgGUA6NLw09EwE0CqkOc4q9oUmW1yo/edit?usp=sharing"",""พิษณุโลก!M352"")"),152604.58)</f>
        <v>152604.57999999999</v>
      </c>
      <c r="O457" s="168">
        <f t="shared" ca="1" si="116"/>
        <v>29.560495501167079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IFERROR(__xludf.DUMMYFUNCTION("IMPORTRANGE(""https://docs.google.com/spreadsheets/d/11923uPwbBZFjjGgGUA6NLw09EwE0CqkOc4q9oUmW1yo/edit?usp=sharing"",""พิษณุโลก!L353"")"),0)</f>
        <v>0</v>
      </c>
      <c r="M458" s="168"/>
      <c r="N458" s="168">
        <f ca="1">IFERROR(__xludf.DUMMYFUNCTION("IMPORTRANGE(""https://docs.google.com/spreadsheets/d/11923uPwbBZFjjGgGUA6NLw09EwE0CqkOc4q9oUmW1yo/edit?usp=sharing"",""พิษณุโลก!M353"")"),0)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IFERROR(__xludf.DUMMYFUNCTION("IMPORTRANGE(""https://docs.google.com/spreadsheets/d/11923uPwbBZFjjGgGUA6NLw09EwE0CqkOc4q9oUmW1yo/edit?usp=sharing"",""พิษณุโลก!L354"")"),516245)</f>
        <v>516245</v>
      </c>
      <c r="M459" s="168"/>
      <c r="N459" s="168">
        <f ca="1">IFERROR(__xludf.DUMMYFUNCTION("IMPORTRANGE(""https://docs.google.com/spreadsheets/d/11923uPwbBZFjjGgGUA6NLw09EwE0CqkOc4q9oUmW1yo/edit?usp=sharing"",""พิษณุโลก!M354"")"),152604.58)</f>
        <v>152604.57999999999</v>
      </c>
      <c r="O459" s="168">
        <f t="shared" ca="1" si="116"/>
        <v>29.560495501167079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IFERROR(__xludf.DUMMYFUNCTION("IMPORTRANGE(""https://docs.google.com/spreadsheets/d/11923uPwbBZFjjGgGUA6NLw09EwE0CqkOc4q9oUmW1yo/edit?usp=sharing"",""พิษณุโลก!M355"")"),0)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IFERROR(__xludf.DUMMYFUNCTION("IMPORTRANGE(""https://docs.google.com/spreadsheets/d/11923uPwbBZFjjGgGUA6NLw09EwE0CqkOc4q9oUmW1yo/edit?usp=sharing"",""พิษณุโลก!M356"")"),0)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IFERROR(__xludf.DUMMYFUNCTION("IMPORTRANGE(""https://docs.google.com/spreadsheets/d/11923uPwbBZFjjGgGUA6NLw09EwE0CqkOc4q9oUmW1yo/edit?usp=sharing"",""พิษณุโลก!M357"")"),64178.58)</f>
        <v>64178.58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IFERROR(__xludf.DUMMYFUNCTION("IMPORTRANGE(""https://docs.google.com/spreadsheets/d/11923uPwbBZFjjGgGUA6NLw09EwE0CqkOc4q9oUmW1yo/edit?usp=sharing"",""พิษณุโลก!M358"")"),88426)</f>
        <v>88426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IFERROR(__xludf.DUMMYFUNCTION("IMPORTRANGE(""https://docs.google.com/spreadsheets/d/11923uPwbBZFjjGgGUA6NLw09EwE0CqkOc4q9oUmW1yo/edit?usp=sharing"",""พิษณุโลก!I359"")"),63132)</f>
        <v>63132</v>
      </c>
      <c r="J464" s="267">
        <f ca="1">IFERROR(__xludf.DUMMYFUNCTION("IMPORTRANGE(""https://docs.google.com/spreadsheets/d/11923uPwbBZFjjGgGUA6NLw09EwE0CqkOc4q9oUmW1yo/edit?usp=sharing"",""พิษณุโลก!J359"")"),55156)</f>
        <v>55156</v>
      </c>
      <c r="K464" s="268">
        <f t="shared" ref="K464:K515" ca="1" si="117">IF(I464&gt;0,J464*100/I464,0)</f>
        <v>87.366153456250402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IFERROR(__xludf.DUMMYFUNCTION("IMPORTRANGE(""https://docs.google.com/spreadsheets/d/11923uPwbBZFjjGgGUA6NLw09EwE0CqkOc4q9oUmW1yo/edit?usp=sharing"",""พิษณุโลก!I360"")"),63132)</f>
        <v>63132</v>
      </c>
      <c r="J465" s="420">
        <f ca="1">IFERROR(__xludf.DUMMYFUNCTION("IMPORTRANGE(""https://docs.google.com/spreadsheets/d/11923uPwbBZFjjGgGUA6NLw09EwE0CqkOc4q9oUmW1yo/edit?usp=sharing"",""พิษณุโลก!J360"")"),63132)</f>
        <v>63132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IFERROR(__xludf.DUMMYFUNCTION("IMPORTRANGE(""https://docs.google.com/spreadsheets/d/11923uPwbBZFjjGgGUA6NLw09EwE0CqkOc4q9oUmW1yo/edit?usp=sharing"",""พิษณุโลก!I361"")"),5640)</f>
        <v>5640</v>
      </c>
      <c r="J466" s="420">
        <f ca="1">IFERROR(__xludf.DUMMYFUNCTION("IMPORTRANGE(""https://docs.google.com/spreadsheets/d/11923uPwbBZFjjGgGUA6NLw09EwE0CqkOc4q9oUmW1yo/edit?usp=sharing"",""พิษณุโลก!J361"")"),5640)</f>
        <v>5640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IFERROR(__xludf.DUMMYFUNCTION("IMPORTRANGE(""https://docs.google.com/spreadsheets/d/11923uPwbBZFjjGgGUA6NLw09EwE0CqkOc4q9oUmW1yo/edit?usp=sharing"",""พิษณุโลก!I362"")"),0)</f>
        <v>0</v>
      </c>
      <c r="J467" s="188">
        <f ca="1">IFERROR(__xludf.DUMMYFUNCTION("IMPORTRANGE(""https://docs.google.com/spreadsheets/d/11923uPwbBZFjjGgGUA6NLw09EwE0CqkOc4q9oUmW1yo/edit?usp=sharing"",""พิษณุโลก!J362"")"),51953)</f>
        <v>51953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IFERROR(__xludf.DUMMYFUNCTION("IMPORTRANGE(""https://docs.google.com/spreadsheets/d/11923uPwbBZFjjGgGUA6NLw09EwE0CqkOc4q9oUmW1yo/edit?usp=sharing"",""พิษณุโลก!I363"")"),0)</f>
        <v>0</v>
      </c>
      <c r="J468" s="188">
        <f ca="1">IFERROR(__xludf.DUMMYFUNCTION("IMPORTRANGE(""https://docs.google.com/spreadsheets/d/11923uPwbBZFjjGgGUA6NLw09EwE0CqkOc4q9oUmW1yo/edit?usp=sharing"",""พิษณุโลก!J363"")"),4913)</f>
        <v>4913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IFERROR(__xludf.DUMMYFUNCTION("IMPORTRANGE(""https://docs.google.com/spreadsheets/d/11923uPwbBZFjjGgGUA6NLw09EwE0CqkOc4q9oUmW1yo/edit?usp=sharing"",""พิษณุโลก!I364"")"),0)</f>
        <v>0</v>
      </c>
      <c r="J469" s="188">
        <f ca="1">IFERROR(__xludf.DUMMYFUNCTION("IMPORTRANGE(""https://docs.google.com/spreadsheets/d/11923uPwbBZFjjGgGUA6NLw09EwE0CqkOc4q9oUmW1yo/edit?usp=sharing"",""พิษณุโลก!J364"")"),10401)</f>
        <v>10401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IFERROR(__xludf.DUMMYFUNCTION("IMPORTRANGE(""https://docs.google.com/spreadsheets/d/11923uPwbBZFjjGgGUA6NLw09EwE0CqkOc4q9oUmW1yo/edit?usp=sharing"",""พิษณุโลก!I365"")"),0)</f>
        <v>0</v>
      </c>
      <c r="J470" s="188">
        <f ca="1">IFERROR(__xludf.DUMMYFUNCTION("IMPORTRANGE(""https://docs.google.com/spreadsheets/d/11923uPwbBZFjjGgGUA6NLw09EwE0CqkOc4q9oUmW1yo/edit?usp=sharing"",""พิษณุโลก!J365"")"),656)</f>
        <v>656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IFERROR(__xludf.DUMMYFUNCTION("IMPORTRANGE(""https://docs.google.com/spreadsheets/d/11923uPwbBZFjjGgGUA6NLw09EwE0CqkOc4q9oUmW1yo/edit?usp=sharing"",""พิษณุโลก!I366"")"),0)</f>
        <v>0</v>
      </c>
      <c r="J471" s="188">
        <f ca="1">IFERROR(__xludf.DUMMYFUNCTION("IMPORTRANGE(""https://docs.google.com/spreadsheets/d/11923uPwbBZFjjGgGUA6NLw09EwE0CqkOc4q9oUmW1yo/edit?usp=sharing"",""พิษณุโลก!J366"")"),778)</f>
        <v>778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IFERROR(__xludf.DUMMYFUNCTION("IMPORTRANGE(""https://docs.google.com/spreadsheets/d/11923uPwbBZFjjGgGUA6NLw09EwE0CqkOc4q9oUmW1yo/edit?usp=sharing"",""พิษณุโลก!I367"")"),0)</f>
        <v>0</v>
      </c>
      <c r="J472" s="188">
        <f ca="1">IFERROR(__xludf.DUMMYFUNCTION("IMPORTRANGE(""https://docs.google.com/spreadsheets/d/11923uPwbBZFjjGgGUA6NLw09EwE0CqkOc4q9oUmW1yo/edit?usp=sharing"",""พิษณุโลก!J367"")"),71)</f>
        <v>71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IFERROR(__xludf.DUMMYFUNCTION("IMPORTRANGE(""https://docs.google.com/spreadsheets/d/11923uPwbBZFjjGgGUA6NLw09EwE0CqkOc4q9oUmW1yo/edit?usp=sharing"",""พิษณุโลก!I368"")"),63132)</f>
        <v>63132</v>
      </c>
      <c r="J473" s="420">
        <f ca="1">IFERROR(__xludf.DUMMYFUNCTION("IMPORTRANGE(""https://docs.google.com/spreadsheets/d/11923uPwbBZFjjGgGUA6NLw09EwE0CqkOc4q9oUmW1yo/edit?usp=sharing"",""พิษณุโลก!J368"")"),63133)</f>
        <v>63133</v>
      </c>
      <c r="K473" s="201">
        <f t="shared" ca="1" si="117"/>
        <v>100.00158398276626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IFERROR(__xludf.DUMMYFUNCTION("IMPORTRANGE(""https://docs.google.com/spreadsheets/d/11923uPwbBZFjjGgGUA6NLw09EwE0CqkOc4q9oUmW1yo/edit?usp=sharing"",""พิษณุโลก!I369"")"),5640)</f>
        <v>5640</v>
      </c>
      <c r="J474" s="420">
        <f ca="1">IFERROR(__xludf.DUMMYFUNCTION("IMPORTRANGE(""https://docs.google.com/spreadsheets/d/11923uPwbBZFjjGgGUA6NLw09EwE0CqkOc4q9oUmW1yo/edit?usp=sharing"",""พิษณุโลก!J369"")"),5640)</f>
        <v>5640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IFERROR(__xludf.DUMMYFUNCTION("IMPORTRANGE(""https://docs.google.com/spreadsheets/d/11923uPwbBZFjjGgGUA6NLw09EwE0CqkOc4q9oUmW1yo/edit?usp=sharing"",""พิษณุโลก!I370"")"),0)</f>
        <v>0</v>
      </c>
      <c r="J475" s="188">
        <f ca="1">IFERROR(__xludf.DUMMYFUNCTION("IMPORTRANGE(""https://docs.google.com/spreadsheets/d/11923uPwbBZFjjGgGUA6NLw09EwE0CqkOc4q9oUmW1yo/edit?usp=sharing"",""พิษณุโลก!J370"")"),53607)</f>
        <v>53607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IFERROR(__xludf.DUMMYFUNCTION("IMPORTRANGE(""https://docs.google.com/spreadsheets/d/11923uPwbBZFjjGgGUA6NLw09EwE0CqkOc4q9oUmW1yo/edit?usp=sharing"",""พิษณุโลก!I371"")"),0)</f>
        <v>0</v>
      </c>
      <c r="J476" s="188">
        <f ca="1">IFERROR(__xludf.DUMMYFUNCTION("IMPORTRANGE(""https://docs.google.com/spreadsheets/d/11923uPwbBZFjjGgGUA6NLw09EwE0CqkOc4q9oUmW1yo/edit?usp=sharing"",""พิษณุโลก!J371"")"),5019)</f>
        <v>5019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IFERROR(__xludf.DUMMYFUNCTION("IMPORTRANGE(""https://docs.google.com/spreadsheets/d/11923uPwbBZFjjGgGUA6NLw09EwE0CqkOc4q9oUmW1yo/edit?usp=sharing"",""พิษณุโลก!I372"")"),0)</f>
        <v>0</v>
      </c>
      <c r="J477" s="188">
        <f ca="1">IFERROR(__xludf.DUMMYFUNCTION("IMPORTRANGE(""https://docs.google.com/spreadsheets/d/11923uPwbBZFjjGgGUA6NLw09EwE0CqkOc4q9oUmW1yo/edit?usp=sharing"",""พิษณุโลก!J372"")"),8519)</f>
        <v>8519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IFERROR(__xludf.DUMMYFUNCTION("IMPORTRANGE(""https://docs.google.com/spreadsheets/d/11923uPwbBZFjjGgGUA6NLw09EwE0CqkOc4q9oUmW1yo/edit?usp=sharing"",""พิษณุโลก!I373"")"),0)</f>
        <v>0</v>
      </c>
      <c r="J478" s="188">
        <f ca="1">IFERROR(__xludf.DUMMYFUNCTION("IMPORTRANGE(""https://docs.google.com/spreadsheets/d/11923uPwbBZFjjGgGUA6NLw09EwE0CqkOc4q9oUmW1yo/edit?usp=sharing"",""พิษณุโลก!J373"")"),521)</f>
        <v>521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IFERROR(__xludf.DUMMYFUNCTION("IMPORTRANGE(""https://docs.google.com/spreadsheets/d/11923uPwbBZFjjGgGUA6NLw09EwE0CqkOc4q9oUmW1yo/edit?usp=sharing"",""พิษณุโลก!I374"")"),0)</f>
        <v>0</v>
      </c>
      <c r="J479" s="188">
        <f ca="1">IFERROR(__xludf.DUMMYFUNCTION("IMPORTRANGE(""https://docs.google.com/spreadsheets/d/11923uPwbBZFjjGgGUA6NLw09EwE0CqkOc4q9oUmW1yo/edit?usp=sharing"",""พิษณุโลก!J374"")"),1007)</f>
        <v>1007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IFERROR(__xludf.DUMMYFUNCTION("IMPORTRANGE(""https://docs.google.com/spreadsheets/d/11923uPwbBZFjjGgGUA6NLw09EwE0CqkOc4q9oUmW1yo/edit?usp=sharing"",""พิษณุโลก!I375"")"),0)</f>
        <v>0</v>
      </c>
      <c r="J480" s="188">
        <f ca="1">IFERROR(__xludf.DUMMYFUNCTION("IMPORTRANGE(""https://docs.google.com/spreadsheets/d/11923uPwbBZFjjGgGUA6NLw09EwE0CqkOc4q9oUmW1yo/edit?usp=sharing"",""พิษณุโลก!J375"")"),100)</f>
        <v>100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IFERROR(__xludf.DUMMYFUNCTION("IMPORTRANGE(""https://docs.google.com/spreadsheets/d/11923uPwbBZFjjGgGUA6NLw09EwE0CqkOc4q9oUmW1yo/edit?usp=sharing"",""พิษณุโลก!I376"")"),63132)</f>
        <v>63132</v>
      </c>
      <c r="J481" s="420">
        <f ca="1">IFERROR(__xludf.DUMMYFUNCTION("IMPORTRANGE(""https://docs.google.com/spreadsheets/d/11923uPwbBZFjjGgGUA6NLw09EwE0CqkOc4q9oUmW1yo/edit?usp=sharing"",""พิษณุโลก!J376"")"),55156)</f>
        <v>55156</v>
      </c>
      <c r="K481" s="201">
        <f t="shared" ca="1" si="117"/>
        <v>87.366153456250402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IFERROR(__xludf.DUMMYFUNCTION("IMPORTRANGE(""https://docs.google.com/spreadsheets/d/11923uPwbBZFjjGgGUA6NLw09EwE0CqkOc4q9oUmW1yo/edit?usp=sharing"",""พิษณุโลก!I377"")"),5640)</f>
        <v>5640</v>
      </c>
      <c r="J482" s="420">
        <f ca="1">IFERROR(__xludf.DUMMYFUNCTION("IMPORTRANGE(""https://docs.google.com/spreadsheets/d/11923uPwbBZFjjGgGUA6NLw09EwE0CqkOc4q9oUmW1yo/edit?usp=sharing"",""พิษณุโลก!J377"")"),5153)</f>
        <v>5153</v>
      </c>
      <c r="K482" s="163">
        <f t="shared" ca="1" si="117"/>
        <v>91.365248226950357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IFERROR(__xludf.DUMMYFUNCTION("IMPORTRANGE(""https://docs.google.com/spreadsheets/d/11923uPwbBZFjjGgGUA6NLw09EwE0CqkOc4q9oUmW1yo/edit?usp=sharing"",""พิษณุโลก!I378"")"),0)</f>
        <v>0</v>
      </c>
      <c r="J483" s="188">
        <f ca="1">IFERROR(__xludf.DUMMYFUNCTION("IMPORTRANGE(""https://docs.google.com/spreadsheets/d/11923uPwbBZFjjGgGUA6NLw09EwE0CqkOc4q9oUmW1yo/edit?usp=sharing"",""พิษณุโลก!J378"")"),54282)</f>
        <v>54282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IFERROR(__xludf.DUMMYFUNCTION("IMPORTRANGE(""https://docs.google.com/spreadsheets/d/11923uPwbBZFjjGgGUA6NLw09EwE0CqkOc4q9oUmW1yo/edit?usp=sharing"",""พิษณุโลก!I379"")"),0)</f>
        <v>0</v>
      </c>
      <c r="J484" s="188">
        <f ca="1">IFERROR(__xludf.DUMMYFUNCTION("IMPORTRANGE(""https://docs.google.com/spreadsheets/d/11923uPwbBZFjjGgGUA6NLw09EwE0CqkOc4q9oUmW1yo/edit?usp=sharing"",""พิษณุโลก!J379"")"),5057)</f>
        <v>5057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IFERROR(__xludf.DUMMYFUNCTION("IMPORTRANGE(""https://docs.google.com/spreadsheets/d/11923uPwbBZFjjGgGUA6NLw09EwE0CqkOc4q9oUmW1yo/edit?usp=sharing"",""พิษณุโลก!I380"")"),0)</f>
        <v>0</v>
      </c>
      <c r="J485" s="188">
        <f ca="1">IFERROR(__xludf.DUMMYFUNCTION("IMPORTRANGE(""https://docs.google.com/spreadsheets/d/11923uPwbBZFjjGgGUA6NLw09EwE0CqkOc4q9oUmW1yo/edit?usp=sharing"",""พิษณุโลก!J380"")"),0)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IFERROR(__xludf.DUMMYFUNCTION("IMPORTRANGE(""https://docs.google.com/spreadsheets/d/11923uPwbBZFjjGgGUA6NLw09EwE0CqkOc4q9oUmW1yo/edit?usp=sharing"",""พิษณุโลก!I381"")"),0)</f>
        <v>0</v>
      </c>
      <c r="J486" s="188">
        <f ca="1">IFERROR(__xludf.DUMMYFUNCTION("IMPORTRANGE(""https://docs.google.com/spreadsheets/d/11923uPwbBZFjjGgGUA6NLw09EwE0CqkOc4q9oUmW1yo/edit?usp=sharing"",""พิษณุโลก!J381"")"),0)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IFERROR(__xludf.DUMMYFUNCTION("IMPORTRANGE(""https://docs.google.com/spreadsheets/d/11923uPwbBZFjjGgGUA6NLw09EwE0CqkOc4q9oUmW1yo/edit?usp=sharing"",""พิษณุโลก!I382"")"),0)</f>
        <v>0</v>
      </c>
      <c r="J487" s="420">
        <f ca="1">IFERROR(__xludf.DUMMYFUNCTION("IMPORTRANGE(""https://docs.google.com/spreadsheets/d/11923uPwbBZFjjGgGUA6NLw09EwE0CqkOc4q9oUmW1yo/edit?usp=sharing"",""พิษณุโลก!J382"")"),874)</f>
        <v>874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IFERROR(__xludf.DUMMYFUNCTION("IMPORTRANGE(""https://docs.google.com/spreadsheets/d/11923uPwbBZFjjGgGUA6NLw09EwE0CqkOc4q9oUmW1yo/edit?usp=sharing"",""พิษณุโลก!I383"")"),0)</f>
        <v>0</v>
      </c>
      <c r="J488" s="420">
        <f ca="1">IFERROR(__xludf.DUMMYFUNCTION("IMPORTRANGE(""https://docs.google.com/spreadsheets/d/11923uPwbBZFjjGgGUA6NLw09EwE0CqkOc4q9oUmW1yo/edit?usp=sharing"",""พิษณุโลก!J383"")"),96)</f>
        <v>96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IFERROR(__xludf.DUMMYFUNCTION("IMPORTRANGE(""https://docs.google.com/spreadsheets/d/11923uPwbBZFjjGgGUA6NLw09EwE0CqkOc4q9oUmW1yo/edit?usp=sharing"",""พิษณุโลก!I384"")"),0)</f>
        <v>0</v>
      </c>
      <c r="J489" s="188">
        <f ca="1">IFERROR(__xludf.DUMMYFUNCTION("IMPORTRANGE(""https://docs.google.com/spreadsheets/d/11923uPwbBZFjjGgGUA6NLw09EwE0CqkOc4q9oUmW1yo/edit?usp=sharing"",""พิษณุโลก!J384"")"),874)</f>
        <v>874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IFERROR(__xludf.DUMMYFUNCTION("IMPORTRANGE(""https://docs.google.com/spreadsheets/d/11923uPwbBZFjjGgGUA6NLw09EwE0CqkOc4q9oUmW1yo/edit?usp=sharing"",""พิษณุโลก!I385"")"),0)</f>
        <v>0</v>
      </c>
      <c r="J490" s="188">
        <f ca="1">IFERROR(__xludf.DUMMYFUNCTION("IMPORTRANGE(""https://docs.google.com/spreadsheets/d/11923uPwbBZFjjGgGUA6NLw09EwE0CqkOc4q9oUmW1yo/edit?usp=sharing"",""พิษณุโลก!J385"")"),96)</f>
        <v>96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IFERROR(__xludf.DUMMYFUNCTION("IMPORTRANGE(""https://docs.google.com/spreadsheets/d/11923uPwbBZFjjGgGUA6NLw09EwE0CqkOc4q9oUmW1yo/edit?usp=sharing"",""พิษณุโลก!I386"")"),0)</f>
        <v>0</v>
      </c>
      <c r="J491" s="188">
        <f ca="1">IFERROR(__xludf.DUMMYFUNCTION("IMPORTRANGE(""https://docs.google.com/spreadsheets/d/11923uPwbBZFjjGgGUA6NLw09EwE0CqkOc4q9oUmW1yo/edit?usp=sharing"",""พิษณุโลก!J386"")"),0)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IFERROR(__xludf.DUMMYFUNCTION("IMPORTRANGE(""https://docs.google.com/spreadsheets/d/11923uPwbBZFjjGgGUA6NLw09EwE0CqkOc4q9oUmW1yo/edit?usp=sharing"",""พิษณุโลก!I387"")"),0)</f>
        <v>0</v>
      </c>
      <c r="J492" s="188">
        <f ca="1">IFERROR(__xludf.DUMMYFUNCTION("IMPORTRANGE(""https://docs.google.com/spreadsheets/d/11923uPwbBZFjjGgGUA6NLw09EwE0CqkOc4q9oUmW1yo/edit?usp=sharing"",""พิษณุโลก!J387"")"),0)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IFERROR(__xludf.DUMMYFUNCTION("IMPORTRANGE(""https://docs.google.com/spreadsheets/d/11923uPwbBZFjjGgGUA6NLw09EwE0CqkOc4q9oUmW1yo/edit?usp=sharing"",""พิษณุโลก!I388"")"),0)</f>
        <v>0</v>
      </c>
      <c r="J493" s="188">
        <f ca="1">IFERROR(__xludf.DUMMYFUNCTION("IMPORTRANGE(""https://docs.google.com/spreadsheets/d/11923uPwbBZFjjGgGUA6NLw09EwE0CqkOc4q9oUmW1yo/edit?usp=sharing"",""พิษณุโลก!J388"")"),0)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IFERROR(__xludf.DUMMYFUNCTION("IMPORTRANGE(""https://docs.google.com/spreadsheets/d/11923uPwbBZFjjGgGUA6NLw09EwE0CqkOc4q9oUmW1yo/edit?usp=sharing"",""พิษณุโลก!I389"")"),0)</f>
        <v>0</v>
      </c>
      <c r="J494" s="436">
        <f ca="1">IFERROR(__xludf.DUMMYFUNCTION("IMPORTRANGE(""https://docs.google.com/spreadsheets/d/11923uPwbBZFjjGgGUA6NLw09EwE0CqkOc4q9oUmW1yo/edit?usp=sharing"",""พิษณุโลก!J389"")"),0)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IFERROR(__xludf.DUMMYFUNCTION("IMPORTRANGE(""https://docs.google.com/spreadsheets/d/11923uPwbBZFjjGgGUA6NLw09EwE0CqkOc4q9oUmW1yo/edit?usp=sharing"",""พิษณุโลก!I390"")"),0)</f>
        <v>0</v>
      </c>
      <c r="J495" s="436">
        <f ca="1">IFERROR(__xludf.DUMMYFUNCTION("IMPORTRANGE(""https://docs.google.com/spreadsheets/d/11923uPwbBZFjjGgGUA6NLw09EwE0CqkOc4q9oUmW1yo/edit?usp=sharing"",""พิษณุโลก!J390"")"),0)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IFERROR(__xludf.DUMMYFUNCTION("IMPORTRANGE(""https://docs.google.com/spreadsheets/d/11923uPwbBZFjjGgGUA6NLw09EwE0CqkOc4q9oUmW1yo/edit?usp=sharing"",""พิษณุโลก!I391"")"),0)</f>
        <v>0</v>
      </c>
      <c r="J496" s="436">
        <f ca="1">IFERROR(__xludf.DUMMYFUNCTION("IMPORTRANGE(""https://docs.google.com/spreadsheets/d/11923uPwbBZFjjGgGUA6NLw09EwE0CqkOc4q9oUmW1yo/edit?usp=sharing"",""พิษณุโลก!J391"")"),0)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IFERROR(__xludf.DUMMYFUNCTION("IMPORTRANGE(""https://docs.google.com/spreadsheets/d/11923uPwbBZFjjGgGUA6NLw09EwE0CqkOc4q9oUmW1yo/edit?usp=sharing"",""พิษณุโลก!I392"")"),1774)</f>
        <v>1774</v>
      </c>
      <c r="J497" s="443">
        <f ca="1">IFERROR(__xludf.DUMMYFUNCTION("IMPORTRANGE(""https://docs.google.com/spreadsheets/d/11923uPwbBZFjjGgGUA6NLw09EwE0CqkOc4q9oUmW1yo/edit?usp=sharing"",""พิษณุโลก!J392"")"),1066)</f>
        <v>1066</v>
      </c>
      <c r="K497" s="444">
        <f t="shared" ca="1" si="117"/>
        <v>60.090191657271703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IFERROR(__xludf.DUMMYFUNCTION("IMPORTRANGE(""https://docs.google.com/spreadsheets/d/11923uPwbBZFjjGgGUA6NLw09EwE0CqkOc4q9oUmW1yo/edit?usp=sharing"",""พิษณุโลก!I393"")"),1774)</f>
        <v>1774</v>
      </c>
      <c r="J498" s="420">
        <f ca="1">IFERROR(__xludf.DUMMYFUNCTION("IMPORTRANGE(""https://docs.google.com/spreadsheets/d/11923uPwbBZFjjGgGUA6NLw09EwE0CqkOc4q9oUmW1yo/edit?usp=sharing"",""พิษณุโลก!J393"")"),1066)</f>
        <v>1066</v>
      </c>
      <c r="K498" s="201">
        <f t="shared" ca="1" si="117"/>
        <v>60.090191657271703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IFERROR(__xludf.DUMMYFUNCTION("IMPORTRANGE(""https://docs.google.com/spreadsheets/d/11923uPwbBZFjjGgGUA6NLw09EwE0CqkOc4q9oUmW1yo/edit?usp=sharing"",""พิษณุโลก!I394"")"),106)</f>
        <v>106</v>
      </c>
      <c r="J499" s="420">
        <f ca="1">IFERROR(__xludf.DUMMYFUNCTION("IMPORTRANGE(""https://docs.google.com/spreadsheets/d/11923uPwbBZFjjGgGUA6NLw09EwE0CqkOc4q9oUmW1yo/edit?usp=sharing"",""พิษณุโลก!J394"")"),67)</f>
        <v>67</v>
      </c>
      <c r="K499" s="201">
        <f t="shared" ca="1" si="117"/>
        <v>63.20754716981132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IFERROR(__xludf.DUMMYFUNCTION("IMPORTRANGE(""https://docs.google.com/spreadsheets/d/11923uPwbBZFjjGgGUA6NLw09EwE0CqkOc4q9oUmW1yo/edit?usp=sharing"",""พิษณุโลก!I395"")"),0)</f>
        <v>0</v>
      </c>
      <c r="J500" s="162">
        <f ca="1">IFERROR(__xludf.DUMMYFUNCTION("IMPORTRANGE(""https://docs.google.com/spreadsheets/d/11923uPwbBZFjjGgGUA6NLw09EwE0CqkOc4q9oUmW1yo/edit?usp=sharing"",""พิษณุโลก!J395"")"),960)</f>
        <v>960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IFERROR(__xludf.DUMMYFUNCTION("IMPORTRANGE(""https://docs.google.com/spreadsheets/d/11923uPwbBZFjjGgGUA6NLw09EwE0CqkOc4q9oUmW1yo/edit?usp=sharing"",""พิษณุโลก!I396"")"),0)</f>
        <v>0</v>
      </c>
      <c r="J501" s="162">
        <f ca="1">IFERROR(__xludf.DUMMYFUNCTION("IMPORTRANGE(""https://docs.google.com/spreadsheets/d/11923uPwbBZFjjGgGUA6NLw09EwE0CqkOc4q9oUmW1yo/edit?usp=sharing"",""พิษณุโลก!J396"")"),63)</f>
        <v>63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IFERROR(__xludf.DUMMYFUNCTION("IMPORTRANGE(""https://docs.google.com/spreadsheets/d/11923uPwbBZFjjGgGUA6NLw09EwE0CqkOc4q9oUmW1yo/edit?usp=sharing"",""พิษณุโลก!I397"")"),0)</f>
        <v>0</v>
      </c>
      <c r="J502" s="188">
        <f ca="1">IFERROR(__xludf.DUMMYFUNCTION("IMPORTRANGE(""https://docs.google.com/spreadsheets/d/11923uPwbBZFjjGgGUA6NLw09EwE0CqkOc4q9oUmW1yo/edit?usp=sharing"",""พิษณุโลก!J397"")"),960)</f>
        <v>960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IFERROR(__xludf.DUMMYFUNCTION("IMPORTRANGE(""https://docs.google.com/spreadsheets/d/11923uPwbBZFjjGgGUA6NLw09EwE0CqkOc4q9oUmW1yo/edit?usp=sharing"",""พิษณุโลก!I398"")"),0)</f>
        <v>0</v>
      </c>
      <c r="J503" s="197">
        <f ca="1">IFERROR(__xludf.DUMMYFUNCTION("IMPORTRANGE(""https://docs.google.com/spreadsheets/d/11923uPwbBZFjjGgGUA6NLw09EwE0CqkOc4q9oUmW1yo/edit?usp=sharing"",""พิษณุโลก!J398"")"),63)</f>
        <v>63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IFERROR(__xludf.DUMMYFUNCTION("IMPORTRANGE(""https://docs.google.com/spreadsheets/d/11923uPwbBZFjjGgGUA6NLw09EwE0CqkOc4q9oUmW1yo/edit?usp=sharing"",""พิษณุโลก!I399"")"),0)</f>
        <v>0</v>
      </c>
      <c r="J504" s="188">
        <f ca="1">IFERROR(__xludf.DUMMYFUNCTION("IMPORTRANGE(""https://docs.google.com/spreadsheets/d/11923uPwbBZFjjGgGUA6NLw09EwE0CqkOc4q9oUmW1yo/edit?usp=sharing"",""พิษณุโลก!J399"")"),0)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IFERROR(__xludf.DUMMYFUNCTION("IMPORTRANGE(""https://docs.google.com/spreadsheets/d/11923uPwbBZFjjGgGUA6NLw09EwE0CqkOc4q9oUmW1yo/edit?usp=sharing"",""พิษณุโลก!I400"")"),0)</f>
        <v>0</v>
      </c>
      <c r="J505" s="197">
        <f ca="1">IFERROR(__xludf.DUMMYFUNCTION("IMPORTRANGE(""https://docs.google.com/spreadsheets/d/11923uPwbBZFjjGgGUA6NLw09EwE0CqkOc4q9oUmW1yo/edit?usp=sharing"",""พิษณุโลก!J400"")"),0)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IFERROR(__xludf.DUMMYFUNCTION("IMPORTRANGE(""https://docs.google.com/spreadsheets/d/11923uPwbBZFjjGgGUA6NLw09EwE0CqkOc4q9oUmW1yo/edit?usp=sharing"",""พิษณุโลก!I401"")"),0)</f>
        <v>0</v>
      </c>
      <c r="J506" s="188">
        <f ca="1">IFERROR(__xludf.DUMMYFUNCTION("IMPORTRANGE(""https://docs.google.com/spreadsheets/d/11923uPwbBZFjjGgGUA6NLw09EwE0CqkOc4q9oUmW1yo/edit?usp=sharing"",""พิษณุโลก!J401"")"),0)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IFERROR(__xludf.DUMMYFUNCTION("IMPORTRANGE(""https://docs.google.com/spreadsheets/d/11923uPwbBZFjjGgGUA6NLw09EwE0CqkOc4q9oUmW1yo/edit?usp=sharing"",""พิษณุโลก!I402"")"),0)</f>
        <v>0</v>
      </c>
      <c r="J507" s="197">
        <f ca="1">IFERROR(__xludf.DUMMYFUNCTION("IMPORTRANGE(""https://docs.google.com/spreadsheets/d/11923uPwbBZFjjGgGUA6NLw09EwE0CqkOc4q9oUmW1yo/edit?usp=sharing"",""พิษณุโลก!J402"")"),0)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IFERROR(__xludf.DUMMYFUNCTION("IMPORTRANGE(""https://docs.google.com/spreadsheets/d/11923uPwbBZFjjGgGUA6NLw09EwE0CqkOc4q9oUmW1yo/edit?usp=sharing"",""พิษณุโลก!I403"")"),0)</f>
        <v>0</v>
      </c>
      <c r="J508" s="162">
        <f ca="1">IFERROR(__xludf.DUMMYFUNCTION("IMPORTRANGE(""https://docs.google.com/spreadsheets/d/11923uPwbBZFjjGgGUA6NLw09EwE0CqkOc4q9oUmW1yo/edit?usp=sharing"",""พิษณุโลก!J403"")"),106)</f>
        <v>106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IFERROR(__xludf.DUMMYFUNCTION("IMPORTRANGE(""https://docs.google.com/spreadsheets/d/11923uPwbBZFjjGgGUA6NLw09EwE0CqkOc4q9oUmW1yo/edit?usp=sharing"",""พิษณุโลก!I404"")"),0)</f>
        <v>0</v>
      </c>
      <c r="J509" s="162">
        <f ca="1">IFERROR(__xludf.DUMMYFUNCTION("IMPORTRANGE(""https://docs.google.com/spreadsheets/d/11923uPwbBZFjjGgGUA6NLw09EwE0CqkOc4q9oUmW1yo/edit?usp=sharing"",""พิษณุโลก!J404"")"),4)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IFERROR(__xludf.DUMMYFUNCTION("IMPORTRANGE(""https://docs.google.com/spreadsheets/d/11923uPwbBZFjjGgGUA6NLw09EwE0CqkOc4q9oUmW1yo/edit?usp=sharing"",""พิษณุโลก!I405"")"),0)</f>
        <v>0</v>
      </c>
      <c r="J510" s="197">
        <f ca="1">IFERROR(__xludf.DUMMYFUNCTION("IMPORTRANGE(""https://docs.google.com/spreadsheets/d/11923uPwbBZFjjGgGUA6NLw09EwE0CqkOc4q9oUmW1yo/edit?usp=sharing"",""พิษณุโลก!J405"")"),106)</f>
        <v>106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IFERROR(__xludf.DUMMYFUNCTION("IMPORTRANGE(""https://docs.google.com/spreadsheets/d/11923uPwbBZFjjGgGUA6NLw09EwE0CqkOc4q9oUmW1yo/edit?usp=sharing"",""พิษณุโลก!I406"")"),0)</f>
        <v>0</v>
      </c>
      <c r="J511" s="197">
        <f ca="1">IFERROR(__xludf.DUMMYFUNCTION("IMPORTRANGE(""https://docs.google.com/spreadsheets/d/11923uPwbBZFjjGgGUA6NLw09EwE0CqkOc4q9oUmW1yo/edit?usp=sharing"",""พิษณุโลก!J406"")"),4)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IFERROR(__xludf.DUMMYFUNCTION("IMPORTRANGE(""https://docs.google.com/spreadsheets/d/11923uPwbBZFjjGgGUA6NLw09EwE0CqkOc4q9oUmW1yo/edit?usp=sharing"",""พิษณุโลก!I407"")"),0)</f>
        <v>0</v>
      </c>
      <c r="J512" s="197">
        <f ca="1">IFERROR(__xludf.DUMMYFUNCTION("IMPORTRANGE(""https://docs.google.com/spreadsheets/d/11923uPwbBZFjjGgGUA6NLw09EwE0CqkOc4q9oUmW1yo/edit?usp=sharing"",""พิษณุโลก!J407"")"),0)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IFERROR(__xludf.DUMMYFUNCTION("IMPORTRANGE(""https://docs.google.com/spreadsheets/d/11923uPwbBZFjjGgGUA6NLw09EwE0CqkOc4q9oUmW1yo/edit?usp=sharing"",""พิษณุโลก!I408"")"),0)</f>
        <v>0</v>
      </c>
      <c r="J513" s="197">
        <f ca="1">IFERROR(__xludf.DUMMYFUNCTION("IMPORTRANGE(""https://docs.google.com/spreadsheets/d/11923uPwbBZFjjGgGUA6NLw09EwE0CqkOc4q9oUmW1yo/edit?usp=sharing"",""พิษณุโลก!J408"")"),0)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IFERROR(__xludf.DUMMYFUNCTION("IMPORTRANGE(""https://docs.google.com/spreadsheets/d/11923uPwbBZFjjGgGUA6NLw09EwE0CqkOc4q9oUmW1yo/edit?usp=sharing"",""พิษณุโลก!I409"")"),0)</f>
        <v>0</v>
      </c>
      <c r="J514" s="197">
        <f ca="1">IFERROR(__xludf.DUMMYFUNCTION("IMPORTRANGE(""https://docs.google.com/spreadsheets/d/11923uPwbBZFjjGgGUA6NLw09EwE0CqkOc4q9oUmW1yo/edit?usp=sharing"",""พิษณุโลก!J409"")"),0)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IFERROR(__xludf.DUMMYFUNCTION("IMPORTRANGE(""https://docs.google.com/spreadsheets/d/11923uPwbBZFjjGgGUA6NLw09EwE0CqkOc4q9oUmW1yo/edit?usp=sharing"",""พิษณุโลก!I410"")"),0)</f>
        <v>0</v>
      </c>
      <c r="J515" s="197">
        <f ca="1">IFERROR(__xludf.DUMMYFUNCTION("IMPORTRANGE(""https://docs.google.com/spreadsheets/d/11923uPwbBZFjjGgGUA6NLw09EwE0CqkOc4q9oUmW1yo/edit?usp=sharing"",""พิษณุโลก!J410"")"),0)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IFERROR(__xludf.DUMMYFUNCTION("IMPORTRANGE(""https://docs.google.com/spreadsheets/d/11923uPwbBZFjjGgGUA6NLw09EwE0CqkOc4q9oUmW1yo/edit?usp=sharing"",""พิษณุโลก!I411"")"),0)</f>
        <v>0</v>
      </c>
      <c r="J516" s="267">
        <f ca="1">IFERROR(__xludf.DUMMYFUNCTION("IMPORTRANGE(""https://docs.google.com/spreadsheets/d/11923uPwbBZFjjGgGUA6NLw09EwE0CqkOc4q9oUmW1yo/edit?usp=sharing"",""พิษณุโลก!J411"")"),0)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IFERROR(__xludf.DUMMYFUNCTION("IMPORTRANGE(""https://docs.google.com/spreadsheets/d/11923uPwbBZFjjGgGUA6NLw09EwE0CqkOc4q9oUmW1yo/edit?usp=sharing"",""พิษณุโลก!I412"")"),0)</f>
        <v>0</v>
      </c>
      <c r="J517" s="284">
        <f ca="1">IFERROR(__xludf.DUMMYFUNCTION("IMPORTRANGE(""https://docs.google.com/spreadsheets/d/11923uPwbBZFjjGgGUA6NLw09EwE0CqkOc4q9oUmW1yo/edit?usp=sharing"",""พิษณุโลก!J412"")"),0)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IFERROR(__xludf.DUMMYFUNCTION("IMPORTRANGE(""https://docs.google.com/spreadsheets/d/11923uPwbBZFjjGgGUA6NLw09EwE0CqkOc4q9oUmW1yo/edit?usp=sharing"",""พิษณุโลก!I413"")"),0)</f>
        <v>0</v>
      </c>
      <c r="J518" s="284">
        <f ca="1">IFERROR(__xludf.DUMMYFUNCTION("IMPORTRANGE(""https://docs.google.com/spreadsheets/d/11923uPwbBZFjjGgGUA6NLw09EwE0CqkOc4q9oUmW1yo/edit?usp=sharing"",""พิษณุโลก!J413"")"),0)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IFERROR(__xludf.DUMMYFUNCTION("IMPORTRANGE(""https://docs.google.com/spreadsheets/d/11923uPwbBZFjjGgGUA6NLw09EwE0CqkOc4q9oUmW1yo/edit?usp=sharing"",""พิษณุโลก!I414"")"),0)</f>
        <v>0</v>
      </c>
      <c r="J519" s="187">
        <f ca="1">IFERROR(__xludf.DUMMYFUNCTION("IMPORTRANGE(""https://docs.google.com/spreadsheets/d/11923uPwbBZFjjGgGUA6NLw09EwE0CqkOc4q9oUmW1yo/edit?usp=sharing"",""พิษณุโลก!J414"")"),0)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IFERROR(__xludf.DUMMYFUNCTION("IMPORTRANGE(""https://docs.google.com/spreadsheets/d/11923uPwbBZFjjGgGUA6NLw09EwE0CqkOc4q9oUmW1yo/edit?usp=sharing"",""พิษณุโลก!I415"")"),0)</f>
        <v>0</v>
      </c>
      <c r="J520" s="187">
        <f ca="1">IFERROR(__xludf.DUMMYFUNCTION("IMPORTRANGE(""https://docs.google.com/spreadsheets/d/11923uPwbBZFjjGgGUA6NLw09EwE0CqkOc4q9oUmW1yo/edit?usp=sharing"",""พิษณุโลก!J415"")"),0)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IFERROR(__xludf.DUMMYFUNCTION("IMPORTRANGE(""https://docs.google.com/spreadsheets/d/11923uPwbBZFjjGgGUA6NLw09EwE0CqkOc4q9oUmW1yo/edit?usp=sharing"",""พิษณุโลก!I416"")"),0)</f>
        <v>0</v>
      </c>
      <c r="J521" s="187">
        <f ca="1">IFERROR(__xludf.DUMMYFUNCTION("IMPORTRANGE(""https://docs.google.com/spreadsheets/d/11923uPwbBZFjjGgGUA6NLw09EwE0CqkOc4q9oUmW1yo/edit?usp=sharing"",""พิษณุโลก!J416"")"),0)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IFERROR(__xludf.DUMMYFUNCTION("IMPORTRANGE(""https://docs.google.com/spreadsheets/d/11923uPwbBZFjjGgGUA6NLw09EwE0CqkOc4q9oUmW1yo/edit?usp=sharing"",""พิษณุโลก!I417"")"),0)</f>
        <v>0</v>
      </c>
      <c r="J522" s="187">
        <f ca="1">IFERROR(__xludf.DUMMYFUNCTION("IMPORTRANGE(""https://docs.google.com/spreadsheets/d/11923uPwbBZFjjGgGUA6NLw09EwE0CqkOc4q9oUmW1yo/edit?usp=sharing"",""พิษณุโลก!J417"")"),0)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IFERROR(__xludf.DUMMYFUNCTION("IMPORTRANGE(""https://docs.google.com/spreadsheets/d/11923uPwbBZFjjGgGUA6NLw09EwE0CqkOc4q9oUmW1yo/edit?usp=sharing"",""พิษณุโลก!I418"")"),0)</f>
        <v>0</v>
      </c>
      <c r="J523" s="187">
        <f ca="1">IFERROR(__xludf.DUMMYFUNCTION("IMPORTRANGE(""https://docs.google.com/spreadsheets/d/11923uPwbBZFjjGgGUA6NLw09EwE0CqkOc4q9oUmW1yo/edit?usp=sharing"",""พิษณุโลก!J418"")"),22)</f>
        <v>22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IFERROR(__xludf.DUMMYFUNCTION("IMPORTRANGE(""https://docs.google.com/spreadsheets/d/11923uPwbBZFjjGgGUA6NLw09EwE0CqkOc4q9oUmW1yo/edit?usp=sharing"",""พิษณุโลก!I419"")"),0)</f>
        <v>0</v>
      </c>
      <c r="J524" s="187">
        <f ca="1">IFERROR(__xludf.DUMMYFUNCTION("IMPORTRANGE(""https://docs.google.com/spreadsheets/d/11923uPwbBZFjjGgGUA6NLw09EwE0CqkOc4q9oUmW1yo/edit?usp=sharing"",""พิษณุโลก!J419"")"),2)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IFERROR(__xludf.DUMMYFUNCTION("IMPORTRANGE(""https://docs.google.com/spreadsheets/d/11923uPwbBZFjjGgGUA6NLw09EwE0CqkOc4q9oUmW1yo/edit?usp=sharing"",""พิษณุโลก!I420"")"),22)</f>
        <v>22</v>
      </c>
      <c r="J525" s="284">
        <f ca="1">IFERROR(__xludf.DUMMYFUNCTION("IMPORTRANGE(""https://docs.google.com/spreadsheets/d/11923uPwbBZFjjGgGUA6NLw09EwE0CqkOc4q9oUmW1yo/edit?usp=sharing"",""พิษณุโลก!J420"")"),22)</f>
        <v>22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IFERROR(__xludf.DUMMYFUNCTION("IMPORTRANGE(""https://docs.google.com/spreadsheets/d/11923uPwbBZFjjGgGUA6NLw09EwE0CqkOc4q9oUmW1yo/edit?usp=sharing"",""พิษณุโลก!I421"")"),2)</f>
        <v>2</v>
      </c>
      <c r="J526" s="284">
        <f ca="1">IFERROR(__xludf.DUMMYFUNCTION("IMPORTRANGE(""https://docs.google.com/spreadsheets/d/11923uPwbBZFjjGgGUA6NLw09EwE0CqkOc4q9oUmW1yo/edit?usp=sharing"",""พิษณุโลก!J421"")"),2)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IFERROR(__xludf.DUMMYFUNCTION("IMPORTRANGE(""https://docs.google.com/spreadsheets/d/11923uPwbBZFjjGgGUA6NLw09EwE0CqkOc4q9oUmW1yo/edit?usp=sharing"",""พิษณุโลก!I422"")"),0)</f>
        <v>0</v>
      </c>
      <c r="J527" s="197">
        <f ca="1">IFERROR(__xludf.DUMMYFUNCTION("IMPORTRANGE(""https://docs.google.com/spreadsheets/d/11923uPwbBZFjjGgGUA6NLw09EwE0CqkOc4q9oUmW1yo/edit?usp=sharing"",""พิษณุโลก!J422"")"),17)</f>
        <v>17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IFERROR(__xludf.DUMMYFUNCTION("IMPORTRANGE(""https://docs.google.com/spreadsheets/d/11923uPwbBZFjjGgGUA6NLw09EwE0CqkOc4q9oUmW1yo/edit?usp=sharing"",""พิษณุโลก!I423"")"),0)</f>
        <v>0</v>
      </c>
      <c r="J528" s="197">
        <f ca="1">IFERROR(__xludf.DUMMYFUNCTION("IMPORTRANGE(""https://docs.google.com/spreadsheets/d/11923uPwbBZFjjGgGUA6NLw09EwE0CqkOc4q9oUmW1yo/edit?usp=sharing"",""พิษณุโลก!J423"")"),1)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IFERROR(__xludf.DUMMYFUNCTION("IMPORTRANGE(""https://docs.google.com/spreadsheets/d/11923uPwbBZFjjGgGUA6NLw09EwE0CqkOc4q9oUmW1yo/edit?usp=sharing"",""พิษณุโลก!I424"")"),0)</f>
        <v>0</v>
      </c>
      <c r="J529" s="197">
        <f ca="1">IFERROR(__xludf.DUMMYFUNCTION("IMPORTRANGE(""https://docs.google.com/spreadsheets/d/11923uPwbBZFjjGgGUA6NLw09EwE0CqkOc4q9oUmW1yo/edit?usp=sharing"",""พิษณุโลก!J424"")"),5)</f>
        <v>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IFERROR(__xludf.DUMMYFUNCTION("IMPORTRANGE(""https://docs.google.com/spreadsheets/d/11923uPwbBZFjjGgGUA6NLw09EwE0CqkOc4q9oUmW1yo/edit?usp=sharing"",""พิษณุโลก!I425"")"),0)</f>
        <v>0</v>
      </c>
      <c r="J530" s="197">
        <f ca="1">IFERROR(__xludf.DUMMYFUNCTION("IMPORTRANGE(""https://docs.google.com/spreadsheets/d/11923uPwbBZFjjGgGUA6NLw09EwE0CqkOc4q9oUmW1yo/edit?usp=sharing"",""พิษณุโลก!J425"")"),1)</f>
        <v>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IFERROR(__xludf.DUMMYFUNCTION("IMPORTRANGE(""https://docs.google.com/spreadsheets/d/11923uPwbBZFjjGgGUA6NLw09EwE0CqkOc4q9oUmW1yo/edit?usp=sharing"",""พิษณุโลก!I426"")"),0)</f>
        <v>0</v>
      </c>
      <c r="J531" s="197">
        <f ca="1">IFERROR(__xludf.DUMMYFUNCTION("IMPORTRANGE(""https://docs.google.com/spreadsheets/d/11923uPwbBZFjjGgGUA6NLw09EwE0CqkOc4q9oUmW1yo/edit?usp=sharing"",""พิษณุโลก!J426"")"),0)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IFERROR(__xludf.DUMMYFUNCTION("IMPORTRANGE(""https://docs.google.com/spreadsheets/d/11923uPwbBZFjjGgGUA6NLw09EwE0CqkOc4q9oUmW1yo/edit?usp=sharing"",""พิษณุโลก!I427"")"),0)</f>
        <v>0</v>
      </c>
      <c r="J532" s="466">
        <f ca="1">IFERROR(__xludf.DUMMYFUNCTION("IMPORTRANGE(""https://docs.google.com/spreadsheets/d/11923uPwbBZFjjGgGUA6NLw09EwE0CqkOc4q9oUmW1yo/edit?usp=sharing"",""พิษณุโลก!J427"")"),0)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IFERROR(__xludf.DUMMYFUNCTION("IMPORTRANGE(""https://docs.google.com/spreadsheets/d/11923uPwbBZFjjGgGUA6NLw09EwE0CqkOc4q9oUmW1yo/edit?usp=sharing"",""พิษณุโลก!I428"")"),22)</f>
        <v>22</v>
      </c>
      <c r="J533" s="409">
        <f ca="1">IFERROR(__xludf.DUMMYFUNCTION("IMPORTRANGE(""https://docs.google.com/spreadsheets/d/11923uPwbBZFjjGgGUA6NLw09EwE0CqkOc4q9oUmW1yo/edit?usp=sharing"",""พิษณุโลก!J428"")"),22)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IFERROR(__xludf.DUMMYFUNCTION("IMPORTRANGE(""https://docs.google.com/spreadsheets/d/11923uPwbBZFjjGgGUA6NLw09EwE0CqkOc4q9oUmW1yo/edit?usp=sharing"",""พิษณุโลก!L428"")"),34340)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IFERROR(__xludf.DUMMYFUNCTION("IMPORTRANGE(""https://docs.google.com/spreadsheets/d/11923uPwbBZFjjGgGUA6NLw09EwE0CqkOc4q9oUmW1yo/edit?usp=sharing"",""พิษณุโลก!M428"")"),29380)</f>
        <v>29380</v>
      </c>
      <c r="O533" s="411">
        <f t="shared" ref="O533:O537" ca="1" si="118">+IF(L533&gt;0,N533*100/L533,0)</f>
        <v>85.556202679091442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IFERROR(__xludf.DUMMYFUNCTION("IMPORTRANGE(""https://docs.google.com/spreadsheets/d/11923uPwbBZFjjGgGUA6NLw09EwE0CqkOc4q9oUmW1yo/edit?usp=sharing"",""พิษณุโลก!L429"")"),0)</f>
        <v>0</v>
      </c>
      <c r="M534" s="164"/>
      <c r="N534" s="168">
        <f ca="1">IFERROR(__xludf.DUMMYFUNCTION("IMPORTRANGE(""https://docs.google.com/spreadsheets/d/11923uPwbBZFjjGgGUA6NLw09EwE0CqkOc4q9oUmW1yo/edit?usp=sharing"",""พิษณุโลก!M429"")"),0)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IFERROR(__xludf.DUMMYFUNCTION("IMPORTRANGE(""https://docs.google.com/spreadsheets/d/11923uPwbBZFjjGgGUA6NLw09EwE0CqkOc4q9oUmW1yo/edit?usp=sharing"",""พิษณุโลก!L430"")"),34340)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IFERROR(__xludf.DUMMYFUNCTION("IMPORTRANGE(""https://docs.google.com/spreadsheets/d/11923uPwbBZFjjGgGUA6NLw09EwE0CqkOc4q9oUmW1yo/edit?usp=sharing"",""พิษณุโลก!M430"")"),29380)</f>
        <v>29380</v>
      </c>
      <c r="O535" s="168">
        <f t="shared" ca="1" si="118"/>
        <v>85.556202679091442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IFERROR(__xludf.DUMMYFUNCTION("IMPORTRANGE(""https://docs.google.com/spreadsheets/d/11923uPwbBZFjjGgGUA6NLw09EwE0CqkOc4q9oUmW1yo/edit?usp=sharing"",""พิษณุโลก!L431"")"),0)</f>
        <v>0</v>
      </c>
      <c r="M536" s="168"/>
      <c r="N536" s="168">
        <f ca="1">IFERROR(__xludf.DUMMYFUNCTION("IMPORTRANGE(""https://docs.google.com/spreadsheets/d/11923uPwbBZFjjGgGUA6NLw09EwE0CqkOc4q9oUmW1yo/edit?usp=sharing"",""พิษณุโลก!M431"")"),0)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IFERROR(__xludf.DUMMYFUNCTION("IMPORTRANGE(""https://docs.google.com/spreadsheets/d/11923uPwbBZFjjGgGUA6NLw09EwE0CqkOc4q9oUmW1yo/edit?usp=sharing"",""พิษณุโลก!L432"")"),34340)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IFERROR(__xludf.DUMMYFUNCTION("IMPORTRANGE(""https://docs.google.com/spreadsheets/d/11923uPwbBZFjjGgGUA6NLw09EwE0CqkOc4q9oUmW1yo/edit?usp=sharing"",""พิษณุโลก!M432"")"),29380)</f>
        <v>29380</v>
      </c>
      <c r="O537" s="168">
        <f t="shared" ca="1" si="118"/>
        <v>85.556202679091442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IFERROR(__xludf.DUMMYFUNCTION("IMPORTRANGE(""https://docs.google.com/spreadsheets/d/11923uPwbBZFjjGgGUA6NLw09EwE0CqkOc4q9oUmW1yo/edit?usp=sharing"",""พิษณุโลก!M433"")"),19880)</f>
        <v>19880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IFERROR(__xludf.DUMMYFUNCTION("IMPORTRANGE(""https://docs.google.com/spreadsheets/d/11923uPwbBZFjjGgGUA6NLw09EwE0CqkOc4q9oUmW1yo/edit?usp=sharing"",""พิษณุโลก!M434"")"),0)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IFERROR(__xludf.DUMMYFUNCTION("IMPORTRANGE(""https://docs.google.com/spreadsheets/d/11923uPwbBZFjjGgGUA6NLw09EwE0CqkOc4q9oUmW1yo/edit?usp=sharing"",""พิษณุโลก!M435"")"),0)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IFERROR(__xludf.DUMMYFUNCTION("IMPORTRANGE(""https://docs.google.com/spreadsheets/d/11923uPwbBZFjjGgGUA6NLw09EwE0CqkOc4q9oUmW1yo/edit?usp=sharing"",""พิษณุโลก!M436"")"),9500)</f>
        <v>9500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IFERROR(__xludf.DUMMYFUNCTION("IMPORTRANGE(""https://docs.google.com/spreadsheets/d/11923uPwbBZFjjGgGUA6NLw09EwE0CqkOc4q9oUmW1yo/edit?usp=sharing"",""พิษณุโลก!J438"")"),0)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IFERROR(__xludf.DUMMYFUNCTION("IMPORTRANGE(""https://docs.google.com/spreadsheets/d/11923uPwbBZFjjGgGUA6NLw09EwE0CqkOc4q9oUmW1yo/edit?usp=sharing"",""พิษณุโลก!J439"")"),1)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IFERROR(__xludf.DUMMYFUNCTION("IMPORTRANGE(""https://docs.google.com/spreadsheets/d/11923uPwbBZFjjGgGUA6NLw09EwE0CqkOc4q9oUmW1yo/edit?usp=sharing"",""พิษณุโลก!J440"")"),1)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IFERROR(__xludf.DUMMYFUNCTION("IMPORTRANGE(""https://docs.google.com/spreadsheets/d/11923uPwbBZFjjGgGUA6NLw09EwE0CqkOc4q9oUmW1yo/edit?usp=sharing"",""พิษณุโลก!J441"")"),1)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IFERROR(__xludf.DUMMYFUNCTION("IMPORTRANGE(""https://docs.google.com/spreadsheets/d/11923uPwbBZFjjGgGUA6NLw09EwE0CqkOc4q9oUmW1yo/edit?usp=sharing"",""พิษณุโลก!I442"")"),22)</f>
        <v>22</v>
      </c>
      <c r="J547" s="188">
        <f ca="1">IFERROR(__xludf.DUMMYFUNCTION("IMPORTRANGE(""https://docs.google.com/spreadsheets/d/11923uPwbBZFjjGgGUA6NLw09EwE0CqkOc4q9oUmW1yo/edit?usp=sharing"",""พิษณุโลก!J442"")"),22)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IFERROR(__xludf.DUMMYFUNCTION("IMPORTRANGE(""https://docs.google.com/spreadsheets/d/11923uPwbBZFjjGgGUA6NLw09EwE0CqkOc4q9oUmW1yo/edit?usp=sharing"",""พิษณุโลก!J166"")"),0)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IFERROR(__xludf.DUMMYFUNCTION("IMPORTRANGE(""https://docs.google.com/spreadsheets/d/11923uPwbBZFjjGgGUA6NLw09EwE0CqkOc4q9oUmW1yo/edit?usp=sharing"",""พิษณุโลก!J444"")"),0)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IFERROR(__xludf.DUMMYFUNCTION("IMPORTRANGE(""https://docs.google.com/spreadsheets/d/11923uPwbBZFjjGgGUA6NLw09EwE0CqkOc4q9oUmW1yo/edit?usp=sharing"",""พิษณุโลก!J445"")"),0)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IFERROR(__xludf.DUMMYFUNCTION("IMPORTRANGE(""https://docs.google.com/spreadsheets/d/11923uPwbBZFjjGgGUA6NLw09EwE0CqkOc4q9oUmW1yo/edit?usp=sharing"",""พิษณุโลก!I446"")"),9000)</f>
        <v>9000</v>
      </c>
      <c r="J551" s="409">
        <f ca="1">IFERROR(__xludf.DUMMYFUNCTION("IMPORTRANGE(""https://docs.google.com/spreadsheets/d/11923uPwbBZFjjGgGUA6NLw09EwE0CqkOc4q9oUmW1yo/edit?usp=sharing"",""พิษณุโลก!J446"")"),5997)</f>
        <v>5997</v>
      </c>
      <c r="K551" s="410">
        <f ca="1">IF(I551&gt;0,J551*100/I551,0)</f>
        <v>66.63333333333334</v>
      </c>
      <c r="L551" s="411">
        <f ca="1">IFERROR(__xludf.DUMMYFUNCTION("IMPORTRANGE(""https://docs.google.com/spreadsheets/d/11923uPwbBZFjjGgGUA6NLw09EwE0CqkOc4q9oUmW1yo/edit?usp=sharing"",""พิษณุโลก!L446"")"),534000)</f>
        <v>534000</v>
      </c>
      <c r="M551" s="411"/>
      <c r="N551" s="411">
        <f ca="1">IFERROR(__xludf.DUMMYFUNCTION("IMPORTRANGE(""https://docs.google.com/spreadsheets/d/11923uPwbBZFjjGgGUA6NLw09EwE0CqkOc4q9oUmW1yo/edit?usp=sharing"",""พิษณุโลก!M446"")"),169287.76)</f>
        <v>169287.76</v>
      </c>
      <c r="O551" s="411">
        <f t="shared" ref="O551:O555" ca="1" si="120">+IF(L551&gt;0,N551*100/L551,0)</f>
        <v>31.701827715355805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IFERROR(__xludf.DUMMYFUNCTION("IMPORTRANGE(""https://docs.google.com/spreadsheets/d/11923uPwbBZFjjGgGUA6NLw09EwE0CqkOc4q9oUmW1yo/edit?usp=sharing"",""พิษณุโลก!L447"")"),0)</f>
        <v>0</v>
      </c>
      <c r="M552" s="164"/>
      <c r="N552" s="168">
        <f ca="1">IFERROR(__xludf.DUMMYFUNCTION("IMPORTRANGE(""https://docs.google.com/spreadsheets/d/11923uPwbBZFjjGgGUA6NLw09EwE0CqkOc4q9oUmW1yo/edit?usp=sharing"",""พิษณุโลก!M447"")"),0)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IFERROR(__xludf.DUMMYFUNCTION("IMPORTRANGE(""https://docs.google.com/spreadsheets/d/11923uPwbBZFjjGgGUA6NLw09EwE0CqkOc4q9oUmW1yo/edit?usp=sharing"",""พิษณุโลก!L448"")"),534000)</f>
        <v>534000</v>
      </c>
      <c r="M553" s="165"/>
      <c r="N553" s="168">
        <f ca="1">IFERROR(__xludf.DUMMYFUNCTION("IMPORTRANGE(""https://docs.google.com/spreadsheets/d/11923uPwbBZFjjGgGUA6NLw09EwE0CqkOc4q9oUmW1yo/edit?usp=sharing"",""พิษณุโลก!M448"")"),169287.76)</f>
        <v>169287.76</v>
      </c>
      <c r="O553" s="168">
        <f t="shared" ca="1" si="120"/>
        <v>31.701827715355805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IFERROR(__xludf.DUMMYFUNCTION("IMPORTRANGE(""https://docs.google.com/spreadsheets/d/11923uPwbBZFjjGgGUA6NLw09EwE0CqkOc4q9oUmW1yo/edit?usp=sharing"",""พิษณุโลก!L449"")"),0)</f>
        <v>0</v>
      </c>
      <c r="M554" s="168"/>
      <c r="N554" s="168">
        <f ca="1">IFERROR(__xludf.DUMMYFUNCTION("IMPORTRANGE(""https://docs.google.com/spreadsheets/d/11923uPwbBZFjjGgGUA6NLw09EwE0CqkOc4q9oUmW1yo/edit?usp=sharing"",""พิษณุโลก!M449"")"),0)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IFERROR(__xludf.DUMMYFUNCTION("IMPORTRANGE(""https://docs.google.com/spreadsheets/d/11923uPwbBZFjjGgGUA6NLw09EwE0CqkOc4q9oUmW1yo/edit?usp=sharing"",""พิษณุโลก!L450"")"),534000)</f>
        <v>534000</v>
      </c>
      <c r="M555" s="168"/>
      <c r="N555" s="168">
        <f ca="1">IFERROR(__xludf.DUMMYFUNCTION("IMPORTRANGE(""https://docs.google.com/spreadsheets/d/11923uPwbBZFjjGgGUA6NLw09EwE0CqkOc4q9oUmW1yo/edit?usp=sharing"",""พิษณุโลก!M450"")"),169287.76)</f>
        <v>169287.76</v>
      </c>
      <c r="O555" s="168">
        <f t="shared" ca="1" si="120"/>
        <v>31.701827715355805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IFERROR(__xludf.DUMMYFUNCTION("IMPORTRANGE(""https://docs.google.com/spreadsheets/d/11923uPwbBZFjjGgGUA6NLw09EwE0CqkOc4q9oUmW1yo/edit?usp=sharing"",""พิษณุโลก!M451"")"),0)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IFERROR(__xludf.DUMMYFUNCTION("IMPORTRANGE(""https://docs.google.com/spreadsheets/d/11923uPwbBZFjjGgGUA6NLw09EwE0CqkOc4q9oUmW1yo/edit?usp=sharing"",""พิษณุโลก!M452"")"),0)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IFERROR(__xludf.DUMMYFUNCTION("IMPORTRANGE(""https://docs.google.com/spreadsheets/d/11923uPwbBZFjjGgGUA6NLw09EwE0CqkOc4q9oUmW1yo/edit?usp=sharing"",""พิษณุโลก!M453"")"),123367.76)</f>
        <v>123367.76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IFERROR(__xludf.DUMMYFUNCTION("IMPORTRANGE(""https://docs.google.com/spreadsheets/d/11923uPwbBZFjjGgGUA6NLw09EwE0CqkOc4q9oUmW1yo/edit?usp=sharing"",""พิษณุโลก!M454"")"),45920)</f>
        <v>45920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IFERROR(__xludf.DUMMYFUNCTION("IMPORTRANGE(""https://docs.google.com/spreadsheets/d/11923uPwbBZFjjGgGUA6NLw09EwE0CqkOc4q9oUmW1yo/edit?usp=sharing"",""พิษณุโลก!I455"")"),9000)</f>
        <v>9000</v>
      </c>
      <c r="J560" s="162">
        <f ca="1">IFERROR(__xludf.DUMMYFUNCTION("IMPORTRANGE(""https://docs.google.com/spreadsheets/d/11923uPwbBZFjjGgGUA6NLw09EwE0CqkOc4q9oUmW1yo/edit?usp=sharing"",""พิษณุโลก!J455"")"),5997)</f>
        <v>5997</v>
      </c>
      <c r="K560" s="224">
        <f t="shared" ref="K560:K561" ca="1" si="121">IF(I560&gt;0,J560*100/I560,0)</f>
        <v>66.63333333333334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IFERROR(__xludf.DUMMYFUNCTION("IMPORTRANGE(""https://docs.google.com/spreadsheets/d/11923uPwbBZFjjGgGUA6NLw09EwE0CqkOc4q9oUmW1yo/edit?usp=sharing"",""พิษณุโลก!I456"")"),0)</f>
        <v>0</v>
      </c>
      <c r="J561" s="203">
        <f ca="1">IFERROR(__xludf.DUMMYFUNCTION("IMPORTRANGE(""https://docs.google.com/spreadsheets/d/11923uPwbBZFjjGgGUA6NLw09EwE0CqkOc4q9oUmW1yo/edit?usp=sharing"",""พิษณุโลก!J456"")"),409)</f>
        <v>409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IFERROR(__xludf.DUMMYFUNCTION("IMPORTRANGE(""https://docs.google.com/spreadsheets/d/11923uPwbBZFjjGgGUA6NLw09EwE0CqkOc4q9oUmW1yo/edit?usp=sharing"",""พิษณุโลก!I459"")"),1500)</f>
        <v>1500</v>
      </c>
      <c r="J564" s="370">
        <f ca="1">IFERROR(__xludf.DUMMYFUNCTION("IMPORTRANGE(""https://docs.google.com/spreadsheets/d/11923uPwbBZFjjGgGUA6NLw09EwE0CqkOc4q9oUmW1yo/edit?usp=sharing"",""พิษณุโลก!J459"")"),2669)</f>
        <v>2669</v>
      </c>
      <c r="K564" s="371">
        <f ca="1">IF(I564&gt;0,J564*100/I564,0)</f>
        <v>177.93333333333334</v>
      </c>
      <c r="L564" s="372">
        <f ca="1">IFERROR(__xludf.DUMMYFUNCTION("IMPORTRANGE(""https://docs.google.com/spreadsheets/d/11923uPwbBZFjjGgGUA6NLw09EwE0CqkOc4q9oUmW1yo/edit?usp=sharing"",""พิษณุโลก!L459"")"),144240)</f>
        <v>144240</v>
      </c>
      <c r="M564" s="372"/>
      <c r="N564" s="372">
        <f ca="1">IFERROR(__xludf.DUMMYFUNCTION("IMPORTRANGE(""https://docs.google.com/spreadsheets/d/11923uPwbBZFjjGgGUA6NLw09EwE0CqkOc4q9oUmW1yo/edit?usp=sharing"",""พิษณุโลก!M459"")"),39628.26)</f>
        <v>39628.26</v>
      </c>
      <c r="O564" s="372">
        <f t="shared" ref="O564:O568" ca="1" si="122">+IF(L564&gt;0,N564*100/L564,0)</f>
        <v>27.473835274542431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IFERROR(__xludf.DUMMYFUNCTION("IMPORTRANGE(""https://docs.google.com/spreadsheets/d/11923uPwbBZFjjGgGUA6NLw09EwE0CqkOc4q9oUmW1yo/edit?usp=sharing"",""พิษณุโลก!L460"")"),0)</f>
        <v>0</v>
      </c>
      <c r="M565" s="164"/>
      <c r="N565" s="168">
        <f ca="1">IFERROR(__xludf.DUMMYFUNCTION("IMPORTRANGE(""https://docs.google.com/spreadsheets/d/11923uPwbBZFjjGgGUA6NLw09EwE0CqkOc4q9oUmW1yo/edit?usp=sharing"",""พิษณุโลก!M460"")"),0)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IFERROR(__xludf.DUMMYFUNCTION("IMPORTRANGE(""https://docs.google.com/spreadsheets/d/11923uPwbBZFjjGgGUA6NLw09EwE0CqkOc4q9oUmW1yo/edit?usp=sharing"",""พิษณุโลก!L461"")"),144240)</f>
        <v>144240</v>
      </c>
      <c r="M566" s="165"/>
      <c r="N566" s="168">
        <f ca="1">IFERROR(__xludf.DUMMYFUNCTION("IMPORTRANGE(""https://docs.google.com/spreadsheets/d/11923uPwbBZFjjGgGUA6NLw09EwE0CqkOc4q9oUmW1yo/edit?usp=sharing"",""พิษณุโลก!M461"")"),39628.26)</f>
        <v>39628.26</v>
      </c>
      <c r="O566" s="168">
        <f t="shared" ca="1" si="122"/>
        <v>27.473835274542431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IFERROR(__xludf.DUMMYFUNCTION("IMPORTRANGE(""https://docs.google.com/spreadsheets/d/11923uPwbBZFjjGgGUA6NLw09EwE0CqkOc4q9oUmW1yo/edit?usp=sharing"",""พิษณุโลก!L462"")"),0)</f>
        <v>0</v>
      </c>
      <c r="M567" s="168"/>
      <c r="N567" s="168">
        <f ca="1">IFERROR(__xludf.DUMMYFUNCTION("IMPORTRANGE(""https://docs.google.com/spreadsheets/d/11923uPwbBZFjjGgGUA6NLw09EwE0CqkOc4q9oUmW1yo/edit?usp=sharing"",""พิษณุโลก!M462"")"),0)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IFERROR(__xludf.DUMMYFUNCTION("IMPORTRANGE(""https://docs.google.com/spreadsheets/d/11923uPwbBZFjjGgGUA6NLw09EwE0CqkOc4q9oUmW1yo/edit?usp=sharing"",""พิษณุโลก!L463"")"),144240)</f>
        <v>144240</v>
      </c>
      <c r="M568" s="168"/>
      <c r="N568" s="168">
        <f ca="1">IFERROR(__xludf.DUMMYFUNCTION("IMPORTRANGE(""https://docs.google.com/spreadsheets/d/11923uPwbBZFjjGgGUA6NLw09EwE0CqkOc4q9oUmW1yo/edit?usp=sharing"",""พิษณุโลก!M463"")"),39628.26)</f>
        <v>39628.26</v>
      </c>
      <c r="O568" s="168">
        <f t="shared" ca="1" si="122"/>
        <v>27.473835274542431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IFERROR(__xludf.DUMMYFUNCTION("IMPORTRANGE(""https://docs.google.com/spreadsheets/d/11923uPwbBZFjjGgGUA6NLw09EwE0CqkOc4q9oUmW1yo/edit?usp=sharing"",""พิษณุโลก!M464"")"),0)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IFERROR(__xludf.DUMMYFUNCTION("IMPORTRANGE(""https://docs.google.com/spreadsheets/d/11923uPwbBZFjjGgGUA6NLw09EwE0CqkOc4q9oUmW1yo/edit?usp=sharing"",""พิษณุโลก!M465"")"),0)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IFERROR(__xludf.DUMMYFUNCTION("IMPORTRANGE(""https://docs.google.com/spreadsheets/d/11923uPwbBZFjjGgGUA6NLw09EwE0CqkOc4q9oUmW1yo/edit?usp=sharing"",""พิษณุโลก!M466"")"),38128.26)</f>
        <v>38128.26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IFERROR(__xludf.DUMMYFUNCTION("IMPORTRANGE(""https://docs.google.com/spreadsheets/d/11923uPwbBZFjjGgGUA6NLw09EwE0CqkOc4q9oUmW1yo/edit?usp=sharing"",""พิษณุโลก!M467"")"),1500)</f>
        <v>1500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IFERROR(__xludf.DUMMYFUNCTION("IMPORTRANGE(""https://docs.google.com/spreadsheets/d/11923uPwbBZFjjGgGUA6NLw09EwE0CqkOc4q9oUmW1yo/edit?usp=sharing"",""พิษณุโลก!I468"")"),1500)</f>
        <v>1500</v>
      </c>
      <c r="J573" s="420">
        <f ca="1">IFERROR(__xludf.DUMMYFUNCTION("IMPORTRANGE(""https://docs.google.com/spreadsheets/d/11923uPwbBZFjjGgGUA6NLw09EwE0CqkOc4q9oUmW1yo/edit?usp=sharing"",""พิษณุโลก!J468"")"),2669)</f>
        <v>2669</v>
      </c>
      <c r="K573" s="201">
        <f ca="1">IF(I573&gt;0,J573*100/I573,0)</f>
        <v>177.93333333333334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IFERROR(__xludf.DUMMYFUNCTION("IMPORTRANGE(""https://docs.google.com/spreadsheets/d/11923uPwbBZFjjGgGUA6NLw09EwE0CqkOc4q9oUmW1yo/edit?usp=sharing"",""พิษณุโลก!I470"")"),0)</f>
        <v>0</v>
      </c>
      <c r="J575" s="197">
        <f ca="1">IFERROR(__xludf.DUMMYFUNCTION("IMPORTRANGE(""https://docs.google.com/spreadsheets/d/11923uPwbBZFjjGgGUA6NLw09EwE0CqkOc4q9oUmW1yo/edit?usp=sharing"",""พิษณุโลก!J470"")"),6)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IFERROR(__xludf.DUMMYFUNCTION("IMPORTRANGE(""https://docs.google.com/spreadsheets/d/11923uPwbBZFjjGgGUA6NLw09EwE0CqkOc4q9oUmW1yo/edit?usp=sharing"",""พิษณุโลก!I471"")"),0)</f>
        <v>0</v>
      </c>
      <c r="J576" s="197">
        <f ca="1">IFERROR(__xludf.DUMMYFUNCTION("IMPORTRANGE(""https://docs.google.com/spreadsheets/d/11923uPwbBZFjjGgGUA6NLw09EwE0CqkOc4q9oUmW1yo/edit?usp=sharing"",""พิษณุโลก!J471"")"),338)</f>
        <v>338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IFERROR(__xludf.DUMMYFUNCTION("IMPORTRANGE(""https://docs.google.com/spreadsheets/d/11923uPwbBZFjjGgGUA6NLw09EwE0CqkOc4q9oUmW1yo/edit?usp=sharing"",""พิษณุโลก!I472"")"),0)</f>
        <v>0</v>
      </c>
      <c r="J577" s="188">
        <f ca="1">IFERROR(__xludf.DUMMYFUNCTION("IMPORTRANGE(""https://docs.google.com/spreadsheets/d/11923uPwbBZFjjGgGUA6NLw09EwE0CqkOc4q9oUmW1yo/edit?usp=sharing"",""พิษณุโลก!J472"")"),2317)</f>
        <v>2317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IFERROR(__xludf.DUMMYFUNCTION("IMPORTRANGE(""https://docs.google.com/spreadsheets/d/11923uPwbBZFjjGgGUA6NLw09EwE0CqkOc4q9oUmW1yo/edit?usp=sharing"",""พิษณุโลก!I473"")"),0)</f>
        <v>0</v>
      </c>
      <c r="J578" s="197">
        <f ca="1">IFERROR(__xludf.DUMMYFUNCTION("IMPORTRANGE(""https://docs.google.com/spreadsheets/d/11923uPwbBZFjjGgGUA6NLw09EwE0CqkOc4q9oUmW1yo/edit?usp=sharing"",""พิษณุโลก!J473"")"),14)</f>
        <v>14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IFERROR(__xludf.DUMMYFUNCTION("IMPORTRANGE(""https://docs.google.com/spreadsheets/d/11923uPwbBZFjjGgGUA6NLw09EwE0CqkOc4q9oUmW1yo/edit?usp=sharing"",""พิษณุโลก!I474"")"),0)</f>
        <v>0</v>
      </c>
      <c r="J579" s="197">
        <f ca="1">IFERROR(__xludf.DUMMYFUNCTION("IMPORTRANGE(""https://docs.google.com/spreadsheets/d/11923uPwbBZFjjGgGUA6NLw09EwE0CqkOc4q9oUmW1yo/edit?usp=sharing"",""พิษณุโลก!J474"")"),0)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IFERROR(__xludf.DUMMYFUNCTION("IMPORTRANGE(""https://docs.google.com/spreadsheets/d/11923uPwbBZFjjGgGUA6NLw09EwE0CqkOc4q9oUmW1yo/edit?usp=sharing"",""พิษณุโลก!I475"")"),24)</f>
        <v>24</v>
      </c>
      <c r="J580" s="370">
        <f ca="1">IFERROR(__xludf.DUMMYFUNCTION("IMPORTRANGE(""https://docs.google.com/spreadsheets/d/11923uPwbBZFjjGgGUA6NLw09EwE0CqkOc4q9oUmW1yo/edit?usp=sharing"",""พิษณุโลก!J475"")"),3)</f>
        <v>3</v>
      </c>
      <c r="K580" s="371">
        <f ca="1">IF(I580&gt;0,J580*100/I580,0)</f>
        <v>12.5</v>
      </c>
      <c r="L580" s="372">
        <f ca="1">IFERROR(__xludf.DUMMYFUNCTION("IMPORTRANGE(""https://docs.google.com/spreadsheets/d/11923uPwbBZFjjGgGUA6NLw09EwE0CqkOc4q9oUmW1yo/edit?usp=sharing"",""พิษณุโลก!L475"")"),127824)</f>
        <v>127824</v>
      </c>
      <c r="M580" s="372"/>
      <c r="N580" s="372">
        <f ca="1">IFERROR(__xludf.DUMMYFUNCTION("IMPORTRANGE(""https://docs.google.com/spreadsheets/d/11923uPwbBZFjjGgGUA6NLw09EwE0CqkOc4q9oUmW1yo/edit?usp=sharing"",""พิษณุโลก!M475"")"),1220)</f>
        <v>1220</v>
      </c>
      <c r="O580" s="372">
        <f t="shared" ref="O580:O584" ca="1" si="124">+IF(L580&gt;0,N580*100/L580,0)</f>
        <v>0.95443735135811736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IFERROR(__xludf.DUMMYFUNCTION("IMPORTRANGE(""https://docs.google.com/spreadsheets/d/11923uPwbBZFjjGgGUA6NLw09EwE0CqkOc4q9oUmW1yo/edit?usp=sharing"",""พิษณุโลก!L476"")"),0)</f>
        <v>0</v>
      </c>
      <c r="M581" s="164"/>
      <c r="N581" s="168">
        <f ca="1">IFERROR(__xludf.DUMMYFUNCTION("IMPORTRANGE(""https://docs.google.com/spreadsheets/d/11923uPwbBZFjjGgGUA6NLw09EwE0CqkOc4q9oUmW1yo/edit?usp=sharing"",""พิษณุโลก!M476"")"),0)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IFERROR(__xludf.DUMMYFUNCTION("IMPORTRANGE(""https://docs.google.com/spreadsheets/d/11923uPwbBZFjjGgGUA6NLw09EwE0CqkOc4q9oUmW1yo/edit?usp=sharing"",""พิษณุโลก!L477"")"),127824)</f>
        <v>127824</v>
      </c>
      <c r="M582" s="165"/>
      <c r="N582" s="168">
        <f ca="1">IFERROR(__xludf.DUMMYFUNCTION("IMPORTRANGE(""https://docs.google.com/spreadsheets/d/11923uPwbBZFjjGgGUA6NLw09EwE0CqkOc4q9oUmW1yo/edit?usp=sharing"",""พิษณุโลก!M477"")"),1220)</f>
        <v>1220</v>
      </c>
      <c r="O582" s="168">
        <f t="shared" ca="1" si="124"/>
        <v>0.95443735135811736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IFERROR(__xludf.DUMMYFUNCTION("IMPORTRANGE(""https://docs.google.com/spreadsheets/d/11923uPwbBZFjjGgGUA6NLw09EwE0CqkOc4q9oUmW1yo/edit?usp=sharing"",""พิษณุโลก!L478"")"),0)</f>
        <v>0</v>
      </c>
      <c r="M583" s="168"/>
      <c r="N583" s="168">
        <f ca="1">IFERROR(__xludf.DUMMYFUNCTION("IMPORTRANGE(""https://docs.google.com/spreadsheets/d/11923uPwbBZFjjGgGUA6NLw09EwE0CqkOc4q9oUmW1yo/edit?usp=sharing"",""พิษณุโลก!M478"")"),0)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IFERROR(__xludf.DUMMYFUNCTION("IMPORTRANGE(""https://docs.google.com/spreadsheets/d/11923uPwbBZFjjGgGUA6NLw09EwE0CqkOc4q9oUmW1yo/edit?usp=sharing"",""พิษณุโลก!L479"")"),127824)</f>
        <v>127824</v>
      </c>
      <c r="M584" s="168"/>
      <c r="N584" s="168">
        <f ca="1">IFERROR(__xludf.DUMMYFUNCTION("IMPORTRANGE(""https://docs.google.com/spreadsheets/d/11923uPwbBZFjjGgGUA6NLw09EwE0CqkOc4q9oUmW1yo/edit?usp=sharing"",""พิษณุโลก!M479"")"),1220)</f>
        <v>1220</v>
      </c>
      <c r="O584" s="168">
        <f t="shared" ca="1" si="124"/>
        <v>0.95443735135811736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IFERROR(__xludf.DUMMYFUNCTION("IMPORTRANGE(""https://docs.google.com/spreadsheets/d/11923uPwbBZFjjGgGUA6NLw09EwE0CqkOc4q9oUmW1yo/edit?usp=sharing"",""พิษณุโลก!M480"")"),0)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IFERROR(__xludf.DUMMYFUNCTION("IMPORTRANGE(""https://docs.google.com/spreadsheets/d/11923uPwbBZFjjGgGUA6NLw09EwE0CqkOc4q9oUmW1yo/edit?usp=sharing"",""พิษณุโลก!M481"")"),0)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IFERROR(__xludf.DUMMYFUNCTION("IMPORTRANGE(""https://docs.google.com/spreadsheets/d/11923uPwbBZFjjGgGUA6NLw09EwE0CqkOc4q9oUmW1yo/edit?usp=sharing"",""พิษณุโลก!M482"")"),0)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IFERROR(__xludf.DUMMYFUNCTION("IMPORTRANGE(""https://docs.google.com/spreadsheets/d/11923uPwbBZFjjGgGUA6NLw09EwE0CqkOc4q9oUmW1yo/edit?usp=sharing"",""พิษณุโลก!M483"")"),1220)</f>
        <v>1220</v>
      </c>
      <c r="O588" s="168"/>
      <c r="P588" s="168"/>
    </row>
    <row r="589" spans="1:16" ht="21.75" customHeight="1" x14ac:dyDescent="0.3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IFERROR(__xludf.DUMMYFUNCTION("IMPORTRANGE(""https://docs.google.com/spreadsheets/d/11923uPwbBZFjjGgGUA6NLw09EwE0CqkOc4q9oUmW1yo/edit?usp=sharing"",""พิษณุโลก!I484"")"),24)</f>
        <v>24</v>
      </c>
      <c r="J589" s="187">
        <f ca="1">IFERROR(__xludf.DUMMYFUNCTION("IMPORTRANGE(""https://docs.google.com/spreadsheets/d/11923uPwbBZFjjGgGUA6NLw09EwE0CqkOc4q9oUmW1yo/edit?usp=sharing"",""พิษณุโลก!J484"")"),5)</f>
        <v>5</v>
      </c>
      <c r="K589" s="163">
        <f t="shared" ref="K589:K596" ca="1" si="125">IF(I589&gt;0,J589*100/I589,0)</f>
        <v>20.833333333333332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IFERROR(__xludf.DUMMYFUNCTION("IMPORTRANGE(""https://docs.google.com/spreadsheets/d/11923uPwbBZFjjGgGUA6NLw09EwE0CqkOc4q9oUmW1yo/edit?usp=sharing"",""พิษณุโลก!I485"")"),0)</f>
        <v>0</v>
      </c>
      <c r="J590" s="187">
        <f ca="1">IFERROR(__xludf.DUMMYFUNCTION("IMPORTRANGE(""https://docs.google.com/spreadsheets/d/11923uPwbBZFjjGgGUA6NLw09EwE0CqkOc4q9oUmW1yo/edit?usp=sharing"",""พิษณุโลก!J485"")"),28.33)</f>
        <v>28.33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IFERROR(__xludf.DUMMYFUNCTION("IMPORTRANGE(""https://docs.google.com/spreadsheets/d/11923uPwbBZFjjGgGUA6NLw09EwE0CqkOc4q9oUmW1yo/edit?usp=sharing"",""พิษณุโลก!I486"")"),24)</f>
        <v>24</v>
      </c>
      <c r="J591" s="187">
        <f ca="1">IFERROR(__xludf.DUMMYFUNCTION("IMPORTRANGE(""https://docs.google.com/spreadsheets/d/11923uPwbBZFjjGgGUA6NLw09EwE0CqkOc4q9oUmW1yo/edit?usp=sharing"",""พิษณุโลก!J486"")"),3)</f>
        <v>3</v>
      </c>
      <c r="K591" s="163">
        <f t="shared" ca="1" si="125"/>
        <v>12.5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IFERROR(__xludf.DUMMYFUNCTION("IMPORTRANGE(""https://docs.google.com/spreadsheets/d/11923uPwbBZFjjGgGUA6NLw09EwE0CqkOc4q9oUmW1yo/edit?usp=sharing"",""พิษณุโลก!I487"")"),0)</f>
        <v>0</v>
      </c>
      <c r="J592" s="187">
        <f ca="1">IFERROR(__xludf.DUMMYFUNCTION("IMPORTRANGE(""https://docs.google.com/spreadsheets/d/11923uPwbBZFjjGgGUA6NLw09EwE0CqkOc4q9oUmW1yo/edit?usp=sharing"",""พิษณุโลก!J487"")"),4.76)</f>
        <v>4.76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IFERROR(__xludf.DUMMYFUNCTION("IMPORTRANGE(""https://docs.google.com/spreadsheets/d/11923uPwbBZFjjGgGUA6NLw09EwE0CqkOc4q9oUmW1yo/edit?usp=sharing"",""พิษณุโลก!I488"")"),24)</f>
        <v>24</v>
      </c>
      <c r="J593" s="187">
        <f ca="1">IFERROR(__xludf.DUMMYFUNCTION("IMPORTRANGE(""https://docs.google.com/spreadsheets/d/11923uPwbBZFjjGgGUA6NLw09EwE0CqkOc4q9oUmW1yo/edit?usp=sharing"",""พิษณุโลก!J488"")"),0)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IFERROR(__xludf.DUMMYFUNCTION("IMPORTRANGE(""https://docs.google.com/spreadsheets/d/11923uPwbBZFjjGgGUA6NLw09EwE0CqkOc4q9oUmW1yo/edit?usp=sharing"",""พิษณุโลก!I489"")"),0)</f>
        <v>0</v>
      </c>
      <c r="J594" s="187">
        <f ca="1">IFERROR(__xludf.DUMMYFUNCTION("IMPORTRANGE(""https://docs.google.com/spreadsheets/d/11923uPwbBZFjjGgGUA6NLw09EwE0CqkOc4q9oUmW1yo/edit?usp=sharing"",""พิษณุโลก!J489"")"),0)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IFERROR(__xludf.DUMMYFUNCTION("IMPORTRANGE(""https://docs.google.com/spreadsheets/d/11923uPwbBZFjjGgGUA6NLw09EwE0CqkOc4q9oUmW1yo/edit?usp=sharing"",""พิษณุโลก!I490"")"),24)</f>
        <v>24</v>
      </c>
      <c r="J595" s="187">
        <f ca="1">IFERROR(__xludf.DUMMYFUNCTION("IMPORTRANGE(""https://docs.google.com/spreadsheets/d/11923uPwbBZFjjGgGUA6NLw09EwE0CqkOc4q9oUmW1yo/edit?usp=sharing"",""พิษณุโลก!J490"")"),3)</f>
        <v>3</v>
      </c>
      <c r="K595" s="163">
        <f t="shared" ca="1" si="125"/>
        <v>12.5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IFERROR(__xludf.DUMMYFUNCTION("IMPORTRANGE(""https://docs.google.com/spreadsheets/d/11923uPwbBZFjjGgGUA6NLw09EwE0CqkOc4q9oUmW1yo/edit?usp=sharing"",""พิษณุโลก!I491"")"),0)</f>
        <v>0</v>
      </c>
      <c r="J596" s="241">
        <f ca="1">IFERROR(__xludf.DUMMYFUNCTION("IMPORTRANGE(""https://docs.google.com/spreadsheets/d/11923uPwbBZFjjGgGUA6NLw09EwE0CqkOc4q9oUmW1yo/edit?usp=sharing"",""พิษณุโลก!J491"")"),4.76)</f>
        <v>4.76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IFERROR(__xludf.DUMMYFUNCTION("IMPORTRANGE(""https://docs.google.com/spreadsheets/d/11923uPwbBZFjjGgGUA6NLw09EwE0CqkOc4q9oUmW1yo/edit?usp=sharing"",""พิษณุโลก!I492"")"),50)</f>
        <v>50</v>
      </c>
      <c r="J597" s="487">
        <f ca="1">IFERROR(__xludf.DUMMYFUNCTION("IMPORTRANGE(""https://docs.google.com/spreadsheets/d/11923uPwbBZFjjGgGUA6NLw09EwE0CqkOc4q9oUmW1yo/edit?usp=sharing"",""พิษณุโลก!J492"")"),0)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IFERROR(__xludf.DUMMYFUNCTION("IMPORTRANGE(""https://docs.google.com/spreadsheets/d/11923uPwbBZFjjGgGUA6NLw09EwE0CqkOc4q9oUmW1yo/edit?usp=sharing"",""พิษณุโลก!L492"")"),4550)</f>
        <v>4550</v>
      </c>
      <c r="M597" s="411"/>
      <c r="N597" s="411">
        <f ca="1">IFERROR(__xludf.DUMMYFUNCTION("IMPORTRANGE(""https://docs.google.com/spreadsheets/d/11923uPwbBZFjjGgGUA6NLw09EwE0CqkOc4q9oUmW1yo/edit?usp=sharing"",""พิษณุโลก!M492"")"),400)</f>
        <v>400</v>
      </c>
      <c r="O597" s="411">
        <f t="shared" ref="O597:O601" ca="1" si="126">+IF(L597&gt;0,N597*100/L597,0)</f>
        <v>8.791208791208792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IFERROR(__xludf.DUMMYFUNCTION("IMPORTRANGE(""https://docs.google.com/spreadsheets/d/11923uPwbBZFjjGgGUA6NLw09EwE0CqkOc4q9oUmW1yo/edit?usp=sharing"",""พิษณุโลก!L493"")"),0)</f>
        <v>0</v>
      </c>
      <c r="M598" s="164"/>
      <c r="N598" s="168">
        <f ca="1">IFERROR(__xludf.DUMMYFUNCTION("IMPORTRANGE(""https://docs.google.com/spreadsheets/d/11923uPwbBZFjjGgGUA6NLw09EwE0CqkOc4q9oUmW1yo/edit?usp=sharing"",""พิษณุโลก!M493"")"),0)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IFERROR(__xludf.DUMMYFUNCTION("IMPORTRANGE(""https://docs.google.com/spreadsheets/d/11923uPwbBZFjjGgGUA6NLw09EwE0CqkOc4q9oUmW1yo/edit?usp=sharing"",""พิษณุโลก!L494"")"),4550)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IFERROR(__xludf.DUMMYFUNCTION("IMPORTRANGE(""https://docs.google.com/spreadsheets/d/11923uPwbBZFjjGgGUA6NLw09EwE0CqkOc4q9oUmW1yo/edit?usp=sharing"",""พิษณุโลก!M494"")"),400)</f>
        <v>400</v>
      </c>
      <c r="O599" s="168">
        <f t="shared" ca="1" si="126"/>
        <v>8.791208791208792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IFERROR(__xludf.DUMMYFUNCTION("IMPORTRANGE(""https://docs.google.com/spreadsheets/d/11923uPwbBZFjjGgGUA6NLw09EwE0CqkOc4q9oUmW1yo/edit?usp=sharing"",""พิษณุโลก!L495"")"),0)</f>
        <v>0</v>
      </c>
      <c r="M600" s="168"/>
      <c r="N600" s="168">
        <f ca="1">IFERROR(__xludf.DUMMYFUNCTION("IMPORTRANGE(""https://docs.google.com/spreadsheets/d/11923uPwbBZFjjGgGUA6NLw09EwE0CqkOc4q9oUmW1yo/edit?usp=sharing"",""พิษณุโลก!M495"")"),0)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IFERROR(__xludf.DUMMYFUNCTION("IMPORTRANGE(""https://docs.google.com/spreadsheets/d/11923uPwbBZFjjGgGUA6NLw09EwE0CqkOc4q9oUmW1yo/edit?usp=sharing"",""พิษณุโลก!L496"")"),4550)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IFERROR(__xludf.DUMMYFUNCTION("IMPORTRANGE(""https://docs.google.com/spreadsheets/d/11923uPwbBZFjjGgGUA6NLw09EwE0CqkOc4q9oUmW1yo/edit?usp=sharing"",""พิษณุโลก!M496"")"),400)</f>
        <v>400</v>
      </c>
      <c r="O601" s="168">
        <f t="shared" ca="1" si="126"/>
        <v>8.791208791208792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IFERROR(__xludf.DUMMYFUNCTION("IMPORTRANGE(""https://docs.google.com/spreadsheets/d/11923uPwbBZFjjGgGUA6NLw09EwE0CqkOc4q9oUmW1yo/edit?usp=sharing"",""พิษณุโลก!M497"")"),0)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IFERROR(__xludf.DUMMYFUNCTION("IMPORTRANGE(""https://docs.google.com/spreadsheets/d/11923uPwbBZFjjGgGUA6NLw09EwE0CqkOc4q9oUmW1yo/edit?usp=sharing"",""พิษณุโลก!M498"")"),0)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IFERROR(__xludf.DUMMYFUNCTION("IMPORTRANGE(""https://docs.google.com/spreadsheets/d/11923uPwbBZFjjGgGUA6NLw09EwE0CqkOc4q9oUmW1yo/edit?usp=sharing"",""พิษณุโลก!M499"")"),0)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IFERROR(__xludf.DUMMYFUNCTION("IMPORTRANGE(""https://docs.google.com/spreadsheets/d/11923uPwbBZFjjGgGUA6NLw09EwE0CqkOc4q9oUmW1yo/edit?usp=sharing"",""พิษณุโลก!M500"")"),400)</f>
        <v>400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IFERROR(__xludf.DUMMYFUNCTION("IMPORTRANGE(""https://docs.google.com/spreadsheets/d/11923uPwbBZFjjGgGUA6NLw09EwE0CqkOc4q9oUmW1yo/edit?usp=sharing"",""พิษณุโลก!J502"")"),0)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IFERROR(__xludf.DUMMYFUNCTION("IMPORTRANGE(""https://docs.google.com/spreadsheets/d/11923uPwbBZFjjGgGUA6NLw09EwE0CqkOc4q9oUmW1yo/edit?usp=sharing"",""พิษณุโลก!J503"")"),1)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IFERROR(__xludf.DUMMYFUNCTION("IMPORTRANGE(""https://docs.google.com/spreadsheets/d/11923uPwbBZFjjGgGUA6NLw09EwE0CqkOc4q9oUmW1yo/edit?usp=sharing"",""พิษณุโลก!J166"")"),0)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IFERROR(__xludf.DUMMYFUNCTION("IMPORTRANGE(""https://docs.google.com/spreadsheets/d/11923uPwbBZFjjGgGUA6NLw09EwE0CqkOc4q9oUmW1yo/edit?usp=sharing"",""พิษณุโลก!J166"")"),0)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IFERROR(__xludf.DUMMYFUNCTION("IMPORTRANGE(""https://docs.google.com/spreadsheets/d/11923uPwbBZFjjGgGUA6NLw09EwE0CqkOc4q9oUmW1yo/edit?usp=sharing"",""พิษณุโลก!I506"")"),50)</f>
        <v>50</v>
      </c>
      <c r="J611" s="162">
        <f ca="1">IFERROR(__xludf.DUMMYFUNCTION("IMPORTRANGE(""https://docs.google.com/spreadsheets/d/11923uPwbBZFjjGgGUA6NLw09EwE0CqkOc4q9oUmW1yo/edit?usp=sharing"",""พิษณุโลก!J506"")"),0)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IFERROR(__xludf.DUMMYFUNCTION("IMPORTRANGE(""https://docs.google.com/spreadsheets/d/11923uPwbBZFjjGgGUA6NLw09EwE0CqkOc4q9oUmW1yo/edit?usp=sharing"",""พิษณุโลก!I507"")"),0)</f>
        <v>0</v>
      </c>
      <c r="J612" s="197">
        <f ca="1">IFERROR(__xludf.DUMMYFUNCTION("IMPORTRANGE(""https://docs.google.com/spreadsheets/d/11923uPwbBZFjjGgGUA6NLw09EwE0CqkOc4q9oUmW1yo/edit?usp=sharing"",""พิษณุโลก!J507"")"),41)</f>
        <v>41</v>
      </c>
      <c r="K612" s="163">
        <f t="shared" ca="1" si="127"/>
        <v>82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IFERROR(__xludf.DUMMYFUNCTION("IMPORTRANGE(""https://docs.google.com/spreadsheets/d/11923uPwbBZFjjGgGUA6NLw09EwE0CqkOc4q9oUmW1yo/edit?usp=sharing"",""พิษณุโลก!I508"")"),0)</f>
        <v>0</v>
      </c>
      <c r="J613" s="197">
        <f ca="1">IFERROR(__xludf.DUMMYFUNCTION("IMPORTRANGE(""https://docs.google.com/spreadsheets/d/11923uPwbBZFjjGgGUA6NLw09EwE0CqkOc4q9oUmW1yo/edit?usp=sharing"",""พิษณุโลก!J508"")"),41)</f>
        <v>41</v>
      </c>
      <c r="K613" s="163">
        <f t="shared" ca="1" si="127"/>
        <v>82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IFERROR(__xludf.DUMMYFUNCTION("IMPORTRANGE(""https://docs.google.com/spreadsheets/d/11923uPwbBZFjjGgGUA6NLw09EwE0CqkOc4q9oUmW1yo/edit?usp=sharing"",""พิษณุโลก!I509"")"),0)</f>
        <v>0</v>
      </c>
      <c r="J614" s="197">
        <f ca="1">IFERROR(__xludf.DUMMYFUNCTION("IMPORTRANGE(""https://docs.google.com/spreadsheets/d/11923uPwbBZFjjGgGUA6NLw09EwE0CqkOc4q9oUmW1yo/edit?usp=sharing"",""พิษณุโลก!J509"")"),41)</f>
        <v>41</v>
      </c>
      <c r="K614" s="163">
        <f t="shared" ca="1" si="127"/>
        <v>82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IFERROR(__xludf.DUMMYFUNCTION("IMPORTRANGE(""https://docs.google.com/spreadsheets/d/11923uPwbBZFjjGgGUA6NLw09EwE0CqkOc4q9oUmW1yo/edit?usp=sharing"",""พิษณุโลก!I510"")"),0)</f>
        <v>0</v>
      </c>
      <c r="J615" s="197">
        <f ca="1">IFERROR(__xludf.DUMMYFUNCTION("IMPORTRANGE(""https://docs.google.com/spreadsheets/d/11923uPwbBZFjjGgGUA6NLw09EwE0CqkOc4q9oUmW1yo/edit?usp=sharing"",""พิษณุโลก!J510"")"),41)</f>
        <v>41</v>
      </c>
      <c r="K615" s="163">
        <f t="shared" ca="1" si="127"/>
        <v>82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IFERROR(__xludf.DUMMYFUNCTION("IMPORTRANGE(""https://docs.google.com/spreadsheets/d/11923uPwbBZFjjGgGUA6NLw09EwE0CqkOc4q9oUmW1yo/edit?usp=sharing"",""พิษณุโลก!I511"")"),0)</f>
        <v>0</v>
      </c>
      <c r="J616" s="197">
        <f ca="1">IFERROR(__xludf.DUMMYFUNCTION("IMPORTRANGE(""https://docs.google.com/spreadsheets/d/11923uPwbBZFjjGgGUA6NLw09EwE0CqkOc4q9oUmW1yo/edit?usp=sharing"",""พิษณุโลก!J511"")"),0)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IFERROR(__xludf.DUMMYFUNCTION("IMPORTRANGE(""https://docs.google.com/spreadsheets/d/11923uPwbBZFjjGgGUA6NLw09EwE0CqkOc4q9oUmW1yo/edit?usp=sharing"",""พิษณุโลก!I512"")"),0)</f>
        <v>0</v>
      </c>
      <c r="J617" s="187">
        <f ca="1">IFERROR(__xludf.DUMMYFUNCTION("IMPORTRANGE(""https://docs.google.com/spreadsheets/d/11923uPwbBZFjjGgGUA6NLw09EwE0CqkOc4q9oUmW1yo/edit?usp=sharing"",""พิษณุโลก!J512"")"),0)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IFERROR(__xludf.DUMMYFUNCTION("IMPORTRANGE(""https://docs.google.com/spreadsheets/d/11923uPwbBZFjjGgGUA6NLw09EwE0CqkOc4q9oUmW1yo/edit?usp=sharing"",""พิษณุโลก!I513"")"),0)</f>
        <v>0</v>
      </c>
      <c r="J618" s="188">
        <f ca="1">IFERROR(__xludf.DUMMYFUNCTION("IMPORTRANGE(""https://docs.google.com/spreadsheets/d/11923uPwbBZFjjGgGUA6NLw09EwE0CqkOc4q9oUmW1yo/edit?usp=sharing"",""พิษณุโลก!J513"")"),0)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IFERROR(__xludf.DUMMYFUNCTION("IMPORTRANGE(""https://docs.google.com/spreadsheets/d/11923uPwbBZFjjGgGUA6NLw09EwE0CqkOc4q9oUmW1yo/edit?usp=sharing"",""พิษณุโลก!I514"")"),0)</f>
        <v>0</v>
      </c>
      <c r="J619" s="188">
        <f ca="1">IFERROR(__xludf.DUMMYFUNCTION("IMPORTRANGE(""https://docs.google.com/spreadsheets/d/11923uPwbBZFjjGgGUA6NLw09EwE0CqkOc4q9oUmW1yo/edit?usp=sharing"",""พิษณุโลก!J514"")"),0)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IFERROR(__xludf.DUMMYFUNCTION("IMPORTRANGE(""https://docs.google.com/spreadsheets/d/11923uPwbBZFjjGgGUA6NLw09EwE0CqkOc4q9oUmW1yo/edit?usp=sharing"",""พิษณุโลก!I515"")"),32)</f>
        <v>32</v>
      </c>
      <c r="J620" s="202">
        <f ca="1">IFERROR(__xludf.DUMMYFUNCTION("IMPORTRANGE(""https://docs.google.com/spreadsheets/d/11923uPwbBZFjjGgGUA6NLw09EwE0CqkOc4q9oUmW1yo/edit?usp=sharing"",""พิษณุโลก!J515"")"),0)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IFERROR(__xludf.DUMMYFUNCTION("IMPORTRANGE(""https://docs.google.com/spreadsheets/d/11923uPwbBZFjjGgGUA6NLw09EwE0CqkOc4q9oUmW1yo/edit?usp=sharing"",""พิษณุโลก!I516"")"),0)</f>
        <v>0</v>
      </c>
      <c r="J621" s="202">
        <f ca="1">IFERROR(__xludf.DUMMYFUNCTION("IMPORTRANGE(""https://docs.google.com/spreadsheets/d/11923uPwbBZFjjGgGUA6NLw09EwE0CqkOc4q9oUmW1yo/edit?usp=sharing"",""พิษณุโลก!J516"")"),0)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IFERROR(__xludf.DUMMYFUNCTION("IMPORTRANGE(""https://docs.google.com/spreadsheets/d/11923uPwbBZFjjGgGUA6NLw09EwE0CqkOc4q9oUmW1yo/edit?usp=sharing"",""พิษณุโลก!I517"")"),0)</f>
        <v>0</v>
      </c>
      <c r="J622" s="188">
        <f ca="1">IFERROR(__xludf.DUMMYFUNCTION("IMPORTRANGE(""https://docs.google.com/spreadsheets/d/11923uPwbBZFjjGgGUA6NLw09EwE0CqkOc4q9oUmW1yo/edit?usp=sharing"",""พิษณุโลก!J517"")"),0)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IFERROR(__xludf.DUMMYFUNCTION("IMPORTRANGE(""https://docs.google.com/spreadsheets/d/11923uPwbBZFjjGgGUA6NLw09EwE0CqkOc4q9oUmW1yo/edit?usp=sharing"",""พิษณุโลก!I518"")"),0)</f>
        <v>0</v>
      </c>
      <c r="J623" s="188">
        <f ca="1">IFERROR(__xludf.DUMMYFUNCTION("IMPORTRANGE(""https://docs.google.com/spreadsheets/d/11923uPwbBZFjjGgGUA6NLw09EwE0CqkOc4q9oUmW1yo/edit?usp=sharing"",""พิษณุโลก!J518"")"),0)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IFERROR(__xludf.DUMMYFUNCTION("IMPORTRANGE(""https://docs.google.com/spreadsheets/d/11923uPwbBZFjjGgGUA6NLw09EwE0CqkOc4q9oUmW1yo/edit?usp=sharing"",""พิษณุโลก!I519"")"),0)</f>
        <v>0</v>
      </c>
      <c r="J624" s="187">
        <f ca="1">IFERROR(__xludf.DUMMYFUNCTION("IMPORTRANGE(""https://docs.google.com/spreadsheets/d/11923uPwbBZFjjGgGUA6NLw09EwE0CqkOc4q9oUmW1yo/edit?usp=sharing"",""พิษณุโลก!J519"")"),0)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IFERROR(__xludf.DUMMYFUNCTION("IMPORTRANGE(""https://docs.google.com/spreadsheets/d/11923uPwbBZFjjGgGUA6NLw09EwE0CqkOc4q9oUmW1yo/edit?usp=sharing"",""พิษณุโลก!I520"")"),0)</f>
        <v>0</v>
      </c>
      <c r="J625" s="188">
        <f ca="1">IFERROR(__xludf.DUMMYFUNCTION("IMPORTRANGE(""https://docs.google.com/spreadsheets/d/11923uPwbBZFjjGgGUA6NLw09EwE0CqkOc4q9oUmW1yo/edit?usp=sharing"",""พิษณุโลก!J520"")"),0)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IFERROR(__xludf.DUMMYFUNCTION("IMPORTRANGE(""https://docs.google.com/spreadsheets/d/11923uPwbBZFjjGgGUA6NLw09EwE0CqkOc4q9oUmW1yo/edit?usp=sharing"",""พิษณุโลก!I521"")"),0)</f>
        <v>0</v>
      </c>
      <c r="J626" s="188">
        <f ca="1">IFERROR(__xludf.DUMMYFUNCTION("IMPORTRANGE(""https://docs.google.com/spreadsheets/d/11923uPwbBZFjjGgGUA6NLw09EwE0CqkOc4q9oUmW1yo/edit?usp=sharing"",""พิษณุโลก!J521"")"),0)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IFERROR(__xludf.DUMMYFUNCTION("IMPORTRANGE(""https://docs.google.com/spreadsheets/d/11923uPwbBZFjjGgGUA6NLw09EwE0CqkOc4q9oUmW1yo/edit?usp=sharing"",""พิษณุโลก!I523"")"),3890202.58)</f>
        <v>3890202.58</v>
      </c>
      <c r="J628" s="341">
        <f ca="1">IFERROR(__xludf.DUMMYFUNCTION("IMPORTRANGE(""https://docs.google.com/spreadsheets/d/11923uPwbBZFjjGgGUA6NLw09EwE0CqkOc4q9oUmW1yo/edit?usp=sharing"",""พิษณุโลก!J523"")"),2402453.19)</f>
        <v>2402453.19</v>
      </c>
      <c r="K628" s="342">
        <f t="shared" ref="K628:K635" ca="1" si="129">IF(I628&gt;0,J628*100/I628,0)</f>
        <v>61.756506006944242</v>
      </c>
      <c r="L628" s="342"/>
      <c r="M628" s="342"/>
      <c r="N628" s="342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IFERROR(__xludf.DUMMYFUNCTION("IMPORTRANGE(""https://docs.google.com/spreadsheets/d/11923uPwbBZFjjGgGUA6NLw09EwE0CqkOc4q9oUmW1yo/edit?usp=sharing"",""พิษณุโลก!I524"")"),290)</f>
        <v>290</v>
      </c>
      <c r="J629" s="341">
        <f ca="1">IFERROR(__xludf.DUMMYFUNCTION("IMPORTRANGE(""https://docs.google.com/spreadsheets/d/11923uPwbBZFjjGgGUA6NLw09EwE0CqkOc4q9oUmW1yo/edit?usp=sharing"",""พิษณุโลก!J524"")"),179)</f>
        <v>179</v>
      </c>
      <c r="K629" s="342">
        <f t="shared" ca="1" si="129"/>
        <v>61.724137931034484</v>
      </c>
      <c r="L629" s="342"/>
      <c r="M629" s="342"/>
      <c r="N629" s="342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IFERROR(__xludf.DUMMYFUNCTION("IMPORTRANGE(""https://docs.google.com/spreadsheets/d/11923uPwbBZFjjGgGUA6NLw09EwE0CqkOc4q9oUmW1yo/edit?usp=sharing"",""พิษณุโลก!I525"")"),2561732.31)</f>
        <v>2561732.31</v>
      </c>
      <c r="J630" s="341">
        <f ca="1">IFERROR(__xludf.DUMMYFUNCTION("IMPORTRANGE(""https://docs.google.com/spreadsheets/d/11923uPwbBZFjjGgGUA6NLw09EwE0CqkOc4q9oUmW1yo/edit?usp=sharing"",""พิษณุโลก!J525"")"),513512.14)</f>
        <v>513512.14</v>
      </c>
      <c r="K630" s="342">
        <f t="shared" ca="1" si="129"/>
        <v>20.045503505399438</v>
      </c>
      <c r="L630" s="342"/>
      <c r="M630" s="342"/>
      <c r="N630" s="342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IFERROR(__xludf.DUMMYFUNCTION("IMPORTRANGE(""https://docs.google.com/spreadsheets/d/11923uPwbBZFjjGgGUA6NLw09EwE0CqkOc4q9oUmW1yo/edit?usp=sharing"",""พิษณุโลก!I526"")"),116)</f>
        <v>116</v>
      </c>
      <c r="J631" s="341">
        <f ca="1">IFERROR(__xludf.DUMMYFUNCTION("IMPORTRANGE(""https://docs.google.com/spreadsheets/d/11923uPwbBZFjjGgGUA6NLw09EwE0CqkOc4q9oUmW1yo/edit?usp=sharing"",""พิษณุโลก!J526"")"),90)</f>
        <v>90</v>
      </c>
      <c r="K631" s="342">
        <f t="shared" ca="1" si="129"/>
        <v>77.58620689655173</v>
      </c>
      <c r="L631" s="342"/>
      <c r="M631" s="342"/>
      <c r="N631" s="342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IFERROR(__xludf.DUMMYFUNCTION("IMPORTRANGE(""https://docs.google.com/spreadsheets/d/11923uPwbBZFjjGgGUA6NLw09EwE0CqkOc4q9oUmW1yo/edit?usp=sharing"",""พิษณุโลก!I527"")"),0)</f>
        <v>0</v>
      </c>
      <c r="J632" s="341">
        <f ca="1">IFERROR(__xludf.DUMMYFUNCTION("IMPORTRANGE(""https://docs.google.com/spreadsheets/d/11923uPwbBZFjjGgGUA6NLw09EwE0CqkOc4q9oUmW1yo/edit?usp=sharing"",""พิษณุโลก!J527"")"),0)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IFERROR(__xludf.DUMMYFUNCTION("IMPORTRANGE(""https://docs.google.com/spreadsheets/d/11923uPwbBZFjjGgGUA6NLw09EwE0CqkOc4q9oUmW1yo/edit?usp=sharing"",""พิษณุโลก!I528"")"),0)</f>
        <v>0</v>
      </c>
      <c r="J633" s="341">
        <f ca="1">IFERROR(__xludf.DUMMYFUNCTION("IMPORTRANGE(""https://docs.google.com/spreadsheets/d/11923uPwbBZFjjGgGUA6NLw09EwE0CqkOc4q9oUmW1yo/edit?usp=sharing"",""พิษณุโลก!J528"")"),0)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IFERROR(__xludf.DUMMYFUNCTION("IMPORTRANGE(""https://docs.google.com/spreadsheets/d/11923uPwbBZFjjGgGUA6NLw09EwE0CqkOc4q9oUmW1yo/edit?usp=sharing"",""พิษณุโลก!I529"")"),4000000)</f>
        <v>4000000</v>
      </c>
      <c r="J634" s="341">
        <f ca="1">IFERROR(__xludf.DUMMYFUNCTION("IMPORTRANGE(""https://docs.google.com/spreadsheets/d/11923uPwbBZFjjGgGUA6NLw09EwE0CqkOc4q9oUmW1yo/edit?usp=sharing"",""พิษณุโลก!J529"")"),2260000)</f>
        <v>2260000</v>
      </c>
      <c r="K634" s="342">
        <f t="shared" ca="1" si="129"/>
        <v>56.5</v>
      </c>
      <c r="L634" s="342"/>
      <c r="M634" s="342"/>
      <c r="N634" s="342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IFERROR(__xludf.DUMMYFUNCTION("IMPORTRANGE(""https://docs.google.com/spreadsheets/d/11923uPwbBZFjjGgGUA6NLw09EwE0CqkOc4q9oUmW1yo/edit?usp=sharing"",""พิษณุโลก!I530"")"),100)</f>
        <v>100</v>
      </c>
      <c r="J635" s="504">
        <f ca="1">IFERROR(__xludf.DUMMYFUNCTION("IMPORTRANGE(""https://docs.google.com/spreadsheets/d/11923uPwbBZFjjGgGUA6NLw09EwE0CqkOc4q9oUmW1yo/edit?usp=sharing"",""พิษณุโลก!J530"")"),61)</f>
        <v>61</v>
      </c>
      <c r="K635" s="486">
        <f t="shared" ca="1" si="129"/>
        <v>61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5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5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IFERROR(__xludf.DUMMYFUNCTION("IMPORTRANGE(""https://docs.google.com/spreadsheets/d/11923uPwbBZFjjGgGUA6NLw09EwE0CqkOc4q9oUmW1yo/edit?usp=sharing"",""พิษณุโลก!J541"")"),0)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5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IFERROR(__xludf.DUMMYFUNCTION("IMPORTRANGE(""https://docs.google.com/spreadsheets/d/11923uPwbBZFjjGgGUA6NLw09EwE0CqkOc4q9oUmW1yo/edit?usp=sharing"",""พิษณุโลก!J542"")"),0)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5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IFERROR(__xludf.DUMMYFUNCTION("IMPORTRANGE(""https://docs.google.com/spreadsheets/d/11923uPwbBZFjjGgGUA6NLw09EwE0CqkOc4q9oUmW1yo/edit?usp=sharing"",""พิษณุโลก!I543"")"),0)</f>
        <v>0</v>
      </c>
      <c r="J648" s="535">
        <f ca="1">IFERROR(__xludf.DUMMYFUNCTION("IMPORTRANGE(""https://docs.google.com/spreadsheets/d/11923uPwbBZFjjGgGUA6NLw09EwE0CqkOc4q9oUmW1yo/edit?usp=sharing"",""พิษณุโลก!J543"")"),0)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IFERROR(__xludf.DUMMYFUNCTION("IMPORTRANGE(""https://docs.google.com/spreadsheets/d/11923uPwbBZFjjGgGUA6NLw09EwE0CqkOc4q9oUmW1yo/edit?usp=sharing"",""พิษณุโลก!L543"")"),0)</f>
        <v>0</v>
      </c>
      <c r="M648" s="520"/>
      <c r="N648" s="537">
        <f ca="1">IFERROR(__xludf.DUMMYFUNCTION("IMPORTRANGE(""https://docs.google.com/spreadsheets/d/11923uPwbBZFjjGgGUA6NLw09EwE0CqkOc4q9oUmW1yo/edit?usp=sharing"",""พิษณุโลก!M543"")"),0)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5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IFERROR(__xludf.DUMMYFUNCTION("IMPORTRANGE(""https://docs.google.com/spreadsheets/d/11923uPwbBZFjjGgGUA6NLw09EwE0CqkOc4q9oUmW1yo/edit?usp=sharing"",""พิษณุโลก!I544"")"),0)</f>
        <v>0</v>
      </c>
      <c r="J649" s="535">
        <f ca="1">IFERROR(__xludf.DUMMYFUNCTION("IMPORTRANGE(""https://docs.google.com/spreadsheets/d/11923uPwbBZFjjGgGUA6NLw09EwE0CqkOc4q9oUmW1yo/edit?usp=sharing"",""พิษณุโลก!J544"")"),0)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IFERROR(__xludf.DUMMYFUNCTION("IMPORTRANGE(""https://docs.google.com/spreadsheets/d/11923uPwbBZFjjGgGUA6NLw09EwE0CqkOc4q9oUmW1yo/edit?usp=sharing"",""พิษณุโลก!L544"")"),0)</f>
        <v>0</v>
      </c>
      <c r="M649" s="520"/>
      <c r="N649" s="537">
        <f ca="1">IFERROR(__xludf.DUMMYFUNCTION("IMPORTRANGE(""https://docs.google.com/spreadsheets/d/11923uPwbBZFjjGgGUA6NLw09EwE0CqkOc4q9oUmW1yo/edit?usp=sharing"",""พิษณุโลก!M544"")"),0)</f>
        <v>0</v>
      </c>
      <c r="O649" s="536">
        <f t="shared" ca="1" si="132"/>
        <v>0</v>
      </c>
      <c r="P649" s="536"/>
    </row>
    <row r="650" spans="1:16" ht="21.75" customHeight="1" x14ac:dyDescent="0.45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IFERROR(__xludf.DUMMYFUNCTION("IMPORTRANGE(""https://docs.google.com/spreadsheets/d/11923uPwbBZFjjGgGUA6NLw09EwE0CqkOc4q9oUmW1yo/edit?usp=sharing"",""พิษณุโลก!I545"")"),0)</f>
        <v>0</v>
      </c>
      <c r="J650" s="535">
        <f ca="1">IFERROR(__xludf.DUMMYFUNCTION("IMPORTRANGE(""https://docs.google.com/spreadsheets/d/11923uPwbBZFjjGgGUA6NLw09EwE0CqkOc4q9oUmW1yo/edit?usp=sharing"",""พิษณุโลก!J545"")"),0)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IFERROR(__xludf.DUMMYFUNCTION("IMPORTRANGE(""https://docs.google.com/spreadsheets/d/11923uPwbBZFjjGgGUA6NLw09EwE0CqkOc4q9oUmW1yo/edit?usp=sharing"",""พิษณุโลก!L545"")"),0)</f>
        <v>0</v>
      </c>
      <c r="M650" s="520"/>
      <c r="N650" s="537">
        <f ca="1">IFERROR(__xludf.DUMMYFUNCTION("IMPORTRANGE(""https://docs.google.com/spreadsheets/d/11923uPwbBZFjjGgGUA6NLw09EwE0CqkOc4q9oUmW1yo/edit?usp=sharing"",""พิษณุโลก!M545"")"),0)</f>
        <v>0</v>
      </c>
      <c r="O650" s="536">
        <f t="shared" ca="1" si="132"/>
        <v>0</v>
      </c>
      <c r="P650" s="536"/>
    </row>
    <row r="651" spans="1:16" ht="21.75" customHeight="1" x14ac:dyDescent="0.45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IFERROR(__xludf.DUMMYFUNCTION("IMPORTRANGE(""https://docs.google.com/spreadsheets/d/11923uPwbBZFjjGgGUA6NLw09EwE0CqkOc4q9oUmW1yo/edit?usp=sharing"",""พิษณุโลก!I546"")"),0)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IFERROR(__xludf.DUMMYFUNCTION("IMPORTRANGE(""https://docs.google.com/spreadsheets/d/11923uPwbBZFjjGgGUA6NLw09EwE0CqkOc4q9oUmW1yo/edit?usp=sharing"",""พิษณุโลก!L546"")"),0)</f>
        <v>0</v>
      </c>
      <c r="M651" s="520"/>
      <c r="N651" s="537">
        <f ca="1">IFERROR(__xludf.DUMMYFUNCTION("IMPORTRANGE(""https://docs.google.com/spreadsheets/d/11923uPwbBZFjjGgGUA6NLw09EwE0CqkOc4q9oUmW1yo/edit?usp=sharing"",""พิษณุโลก!M546"")"),0)</f>
        <v>0</v>
      </c>
      <c r="O651" s="536">
        <f t="shared" ca="1" si="132"/>
        <v>0</v>
      </c>
      <c r="P651" s="536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IFERROR(__xludf.DUMMYFUNCTION("IMPORTRANGE(""https://docs.google.com/spreadsheets/d/11923uPwbBZFjjGgGUA6NLw09EwE0CqkOc4q9oUmW1yo/edit?usp=sharing"",""พิษณุโลก!J547"")"),0)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IFERROR(__xludf.DUMMYFUNCTION("IMPORTRANGE(""https://docs.google.com/spreadsheets/d/11923uPwbBZFjjGgGUA6NLw09EwE0CqkOc4q9oUmW1yo/edit?usp=sharing"",""พิษณุโลก!J548"")"),0)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IFERROR(__xludf.DUMMYFUNCTION("IMPORTRANGE(""https://docs.google.com/spreadsheets/d/11923uPwbBZFjjGgGUA6NLw09EwE0CqkOc4q9oUmW1yo/edit?usp=sharing"",""พิษณุโลก!J550"")"),0)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IFERROR(__xludf.DUMMYFUNCTION("IMPORTRANGE(""https://docs.google.com/spreadsheets/d/11923uPwbBZFjjGgGUA6NLw09EwE0CqkOc4q9oUmW1yo/edit?usp=sharing"",""พิษณุโลก!J551"")"),0)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IFERROR(__xludf.DUMMYFUNCTION("IMPORTRANGE(""https://docs.google.com/spreadsheets/d/11923uPwbBZFjjGgGUA6NLw09EwE0CqkOc4q9oUmW1yo/edit?usp=sharing"",""พิษณุโลก!J552"")"),0)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IFERROR(__xludf.DUMMYFUNCTION("IMPORTRANGE(""https://docs.google.com/spreadsheets/d/11923uPwbBZFjjGgGUA6NLw09EwE0CqkOc4q9oUmW1yo/edit?usp=sharing"",""พิษณุโลก!J553"")"),0)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IFERROR(__xludf.DUMMYFUNCTION("IMPORTRANGE(""https://docs.google.com/spreadsheets/d/11923uPwbBZFjjGgGUA6NLw09EwE0CqkOc4q9oUmW1yo/edit?usp=sharing"",""พิษณุโลก!J554"")"),0)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IFERROR(__xludf.DUMMYFUNCTION("IMPORTRANGE(""https://docs.google.com/spreadsheets/d/11923uPwbBZFjjGgGUA6NLw09EwE0CqkOc4q9oUmW1yo/edit?usp=sharing"",""พิษณุโลก!J555"")"),0)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5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IFERROR(__xludf.DUMMYFUNCTION("IMPORTRANGE(""https://docs.google.com/spreadsheets/d/11923uPwbBZFjjGgGUA6NLw09EwE0CqkOc4q9oUmW1yo/edit?usp=sharing"",""พิษณุโลก!J556"")"),0)</f>
        <v>0</v>
      </c>
      <c r="K661" s="536"/>
      <c r="L661" s="521">
        <f ca="1">IFERROR(__xludf.DUMMYFUNCTION("IMPORTRANGE(""https://docs.google.com/spreadsheets/d/11923uPwbBZFjjGgGUA6NLw09EwE0CqkOc4q9oUmW1yo/edit?usp=sharing"",""พิษณุโลก!L556"")"),0)</f>
        <v>0</v>
      </c>
      <c r="M661" s="520"/>
      <c r="N661" s="537">
        <f ca="1">IFERROR(__xludf.DUMMYFUNCTION("IMPORTRANGE(""https://docs.google.com/spreadsheets/d/11923uPwbBZFjjGgGUA6NLw09EwE0CqkOc4q9oUmW1yo/edit?usp=sharing"",""พิษณุโลก!M556"")"),0)</f>
        <v>0</v>
      </c>
      <c r="O661" s="536">
        <f ca="1">IF(L661&gt;0,N661*100/L661,0)</f>
        <v>0</v>
      </c>
      <c r="P661" s="536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IFERROR(__xludf.DUMMYFUNCTION("IMPORTRANGE(""https://docs.google.com/spreadsheets/d/11923uPwbBZFjjGgGUA6NLw09EwE0CqkOc4q9oUmW1yo/edit?usp=sharing"",""พิษณุโลก!J557"")"),0)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IFERROR(__xludf.DUMMYFUNCTION("IMPORTRANGE(""https://docs.google.com/spreadsheets/d/11923uPwbBZFjjGgGUA6NLw09EwE0CqkOc4q9oUmW1yo/edit?usp=sharing"",""พิษณุโลก!I558"")"),0)</f>
        <v>0</v>
      </c>
      <c r="J663" s="535">
        <f ca="1">IFERROR(__xludf.DUMMYFUNCTION("IMPORTRANGE(""https://docs.google.com/spreadsheets/d/11923uPwbBZFjjGgGUA6NLw09EwE0CqkOc4q9oUmW1yo/edit?usp=sharing"",""พิษณุโลก!J558"")"),0)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5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IFERROR(__xludf.DUMMYFUNCTION("IMPORTRANGE(""https://docs.google.com/spreadsheets/d/11923uPwbBZFjjGgGUA6NLw09EwE0CqkOc4q9oUmW1yo/edit?usp=sharing"",""พิษณุโลก!I560"")"),0)</f>
        <v>0</v>
      </c>
      <c r="J665" s="535">
        <f ca="1">IFERROR(__xludf.DUMMYFUNCTION("IMPORTRANGE(""https://docs.google.com/spreadsheets/d/11923uPwbBZFjjGgGUA6NLw09EwE0CqkOc4q9oUmW1yo/edit?usp=sharing"",""พิษณุโลก!J560"")"),0)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IFERROR(__xludf.DUMMYFUNCTION("IMPORTRANGE(""https://docs.google.com/spreadsheets/d/11923uPwbBZFjjGgGUA6NLw09EwE0CqkOc4q9oUmW1yo/edit?usp=sharing"",""พิษณุโลก!L560"")"),0)</f>
        <v>0</v>
      </c>
      <c r="M665" s="520"/>
      <c r="N665" s="537">
        <f ca="1">IFERROR(__xludf.DUMMYFUNCTION("IMPORTRANGE(""https://docs.google.com/spreadsheets/d/11923uPwbBZFjjGgGUA6NLw09EwE0CqkOc4q9oUmW1yo/edit?usp=sharing"",""พิษณุโลก!M560"")"),0)</f>
        <v>0</v>
      </c>
      <c r="O665" s="536">
        <f ca="1">IF(L665&gt;0,N665*100/L665,0)</f>
        <v>0</v>
      </c>
      <c r="P665" s="536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IFERROR(__xludf.DUMMYFUNCTION("IMPORTRANGE(""https://docs.google.com/spreadsheets/d/11923uPwbBZFjjGgGUA6NLw09EwE0CqkOc4q9oUmW1yo/edit?usp=sharing"",""พิษณุโลก!J561"")"),0)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IFERROR(__xludf.DUMMYFUNCTION("IMPORTRANGE(""https://docs.google.com/spreadsheets/d/11923uPwbBZFjjGgGUA6NLw09EwE0CqkOc4q9oUmW1yo/edit?usp=sharing"",""พิษณุโลก!J562"")"),0)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IFERROR(__xludf.DUMMYFUNCTION("IMPORTRANGE(""https://docs.google.com/spreadsheets/d/11923uPwbBZFjjGgGUA6NLw09EwE0CqkOc4q9oUmW1yo/edit?usp=sharing"",""พิษณุโลก!I563"")"),0)</f>
        <v>0</v>
      </c>
      <c r="J668" s="535">
        <f ca="1">IFERROR(__xludf.DUMMYFUNCTION("IMPORTRANGE(""https://docs.google.com/spreadsheets/d/11923uPwbBZFjjGgGUA6NLw09EwE0CqkOc4q9oUmW1yo/edit?usp=sharing"",""พิษณุโลก!J563"")"),0)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IFERROR(__xludf.DUMMYFUNCTION("IMPORTRANGE(""https://docs.google.com/spreadsheets/d/11923uPwbBZFjjGgGUA6NLw09EwE0CqkOc4q9oUmW1yo/edit?usp=sharing"",""พิษณุโลก!L563"")"),0)</f>
        <v>0</v>
      </c>
      <c r="M668" s="520"/>
      <c r="N668" s="537">
        <f ca="1">IFERROR(__xludf.DUMMYFUNCTION("IMPORTRANGE(""https://docs.google.com/spreadsheets/d/11923uPwbBZFjjGgGUA6NLw09EwE0CqkOc4q9oUmW1yo/edit?usp=sharing"",""พิษณุโลก!M563"")"),0)</f>
        <v>0</v>
      </c>
      <c r="O668" s="536">
        <f ca="1">IF(L668&gt;0,N668*100/L668,0)</f>
        <v>0</v>
      </c>
      <c r="P668" s="536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IFERROR(__xludf.DUMMYFUNCTION("IMPORTRANGE(""https://docs.google.com/spreadsheets/d/11923uPwbBZFjjGgGUA6NLw09EwE0CqkOc4q9oUmW1yo/edit?usp=sharing"",""พิษณุโลก!J564"")"),0)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IFERROR(__xludf.DUMMYFUNCTION("IMPORTRANGE(""https://docs.google.com/spreadsheets/d/11923uPwbBZFjjGgGUA6NLw09EwE0CqkOc4q9oUmW1yo/edit?usp=sharing"",""พิษณุโลก!J565"")"),0)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5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IFERROR(__xludf.DUMMYFUNCTION("IMPORTRANGE(""https://docs.google.com/spreadsheets/d/11923uPwbBZFjjGgGUA6NLw09EwE0CqkOc4q9oUmW1yo/edit?usp=sharing"",""พิษณุโลก!I566"")"),0)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IFERROR(__xludf.DUMMYFUNCTION("IMPORTRANGE(""https://docs.google.com/spreadsheets/d/11923uPwbBZFjjGgGUA6NLw09EwE0CqkOc4q9oUmW1yo/edit?usp=sharing"",""พิษณุโลก!L566"")"),0)</f>
        <v>0</v>
      </c>
      <c r="M671" s="520"/>
      <c r="N671" s="537">
        <f ca="1">IFERROR(__xludf.DUMMYFUNCTION("IMPORTRANGE(""https://docs.google.com/spreadsheets/d/11923uPwbBZFjjGgGUA6NLw09EwE0CqkOc4q9oUmW1yo/edit?usp=sharing"",""พิษณุโลก!M566"")"),0)</f>
        <v>0</v>
      </c>
      <c r="O671" s="536">
        <f ca="1">IF(L671&gt;0,N671*100/L671,0)</f>
        <v>0</v>
      </c>
      <c r="P671" s="536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IFERROR(__xludf.DUMMYFUNCTION("IMPORTRANGE(""https://docs.google.com/spreadsheets/d/11923uPwbBZFjjGgGUA6NLw09EwE0CqkOc4q9oUmW1yo/edit?usp=sharing"",""พิษณุโลก!J567"")"),0)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IFERROR(__xludf.DUMMYFUNCTION("IMPORTRANGE(""https://docs.google.com/spreadsheets/d/11923uPwbBZFjjGgGUA6NLw09EwE0CqkOc4q9oUmW1yo/edit?usp=sharing"",""พิษณุโลก!J568"")"),0)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IFERROR(__xludf.DUMMYFUNCTION("IMPORTRANGE(""https://docs.google.com/spreadsheets/d/11923uPwbBZFjjGgGUA6NLw09EwE0CqkOc4q9oUmW1yo/edit?usp=sharing"",""พิษณุโลก!J569"")"),0)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IFERROR(__xludf.DUMMYFUNCTION("IMPORTRANGE(""https://docs.google.com/spreadsheets/d/11923uPwbBZFjjGgGUA6NLw09EwE0CqkOc4q9oUmW1yo/edit?usp=sharing"",""พิษณุโลก!J570"")"),0)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IFERROR(__xludf.DUMMYFUNCTION("IMPORTRANGE(""https://docs.google.com/spreadsheets/d/11923uPwbBZFjjGgGUA6NLw09EwE0CqkOc4q9oUmW1yo/edit?usp=sharing"",""พิษณุโลก!J571"")"),0)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5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IFERROR(__xludf.DUMMYFUNCTION("IMPORTRANGE(""https://docs.google.com/spreadsheets/d/11923uPwbBZFjjGgGUA6NLw09EwE0CqkOc4q9oUmW1yo/edit?usp=sharing"",""พิษณุโลก!J572"")"),0)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35">
      <c r="A2" s="577" t="s">
        <v>278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3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7036561</v>
      </c>
      <c r="M8" s="23">
        <f t="shared" ca="1" si="0"/>
        <v>3151230</v>
      </c>
      <c r="N8" s="23">
        <f t="shared" ca="1" si="0"/>
        <v>4286632.0499999989</v>
      </c>
      <c r="O8" s="22">
        <f t="shared" ref="O8:O16" ca="1" si="1">IF(L8&gt;0,N8*100/L8,0)</f>
        <v>60.919418590984982</v>
      </c>
      <c r="P8" s="22">
        <f t="shared" ref="P8:P16" ca="1" si="2">IF(M8&gt;0,N8*100/M8,0)</f>
        <v>136.03044049466396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7036561</v>
      </c>
      <c r="M10" s="30">
        <f t="shared" ca="1" si="4"/>
        <v>3151230</v>
      </c>
      <c r="N10" s="30">
        <f t="shared" ca="1" si="4"/>
        <v>4286632.0499999989</v>
      </c>
      <c r="O10" s="29">
        <f t="shared" ca="1" si="1"/>
        <v>60.919418590984982</v>
      </c>
      <c r="P10" s="29">
        <f t="shared" ca="1" si="2"/>
        <v>136.03044049466396</v>
      </c>
    </row>
    <row r="11" spans="1:16" ht="21.75" customHeight="1" x14ac:dyDescent="0.45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6803261</v>
      </c>
      <c r="M12" s="39">
        <f t="shared" ca="1" si="6"/>
        <v>2917930</v>
      </c>
      <c r="N12" s="39">
        <f t="shared" ca="1" si="6"/>
        <v>4053332.0499999989</v>
      </c>
      <c r="O12" s="39">
        <f t="shared" ca="1" si="1"/>
        <v>59.579252508466141</v>
      </c>
      <c r="P12" s="39">
        <f t="shared" ca="1" si="2"/>
        <v>138.91121617036731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1991600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4811661</v>
      </c>
      <c r="M14" s="39">
        <f t="shared" si="8"/>
        <v>0</v>
      </c>
      <c r="N14" s="39">
        <f t="shared" ca="1" si="8"/>
        <v>1709397.959999999</v>
      </c>
      <c r="O14" s="39">
        <f t="shared" ca="1" si="1"/>
        <v>35.526151156534077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233300</v>
      </c>
      <c r="M16" s="39">
        <f t="shared" ca="1" si="10"/>
        <v>233300</v>
      </c>
      <c r="N16" s="39">
        <f t="shared" ca="1" si="10"/>
        <v>233300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3960805</v>
      </c>
      <c r="M18" s="23">
        <f t="shared" ca="1" si="11"/>
        <v>3151230</v>
      </c>
      <c r="N18" s="23">
        <f t="shared" ca="1" si="11"/>
        <v>2577234.09</v>
      </c>
      <c r="O18" s="22">
        <f t="shared" ref="O18:O20" ca="1" si="12">IF(L18&gt;0,N18*100/L18,0)</f>
        <v>65.068441642544883</v>
      </c>
      <c r="P18" s="22">
        <f t="shared" ref="P18:P26" ca="1" si="13">IF(M18&gt;0,N18*100/M18,0)</f>
        <v>81.785020134994909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3960805</v>
      </c>
      <c r="M20" s="30">
        <f t="shared" ca="1" si="15"/>
        <v>3151230</v>
      </c>
      <c r="N20" s="30">
        <f t="shared" ca="1" si="15"/>
        <v>2577234.09</v>
      </c>
      <c r="O20" s="29">
        <f t="shared" ca="1" si="12"/>
        <v>65.068441642544883</v>
      </c>
      <c r="P20" s="29">
        <f t="shared" ca="1" si="13"/>
        <v>81.785020134994909</v>
      </c>
    </row>
    <row r="21" spans="1:16" ht="21.75" customHeight="1" x14ac:dyDescent="0.45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3727505</v>
      </c>
      <c r="M22" s="42">
        <f t="shared" ca="1" si="18"/>
        <v>2917930</v>
      </c>
      <c r="N22" s="39">
        <f t="shared" ca="1" si="18"/>
        <v>2343934.09</v>
      </c>
      <c r="O22" s="39">
        <f t="shared" ca="1" si="17"/>
        <v>62.882117931431345</v>
      </c>
      <c r="P22" s="39">
        <f t="shared" ca="1" si="13"/>
        <v>80.328660728667245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1991600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1735905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233300</v>
      </c>
      <c r="M26" s="50">
        <f t="shared" ca="1" si="22"/>
        <v>233300</v>
      </c>
      <c r="N26" s="50">
        <f t="shared" ca="1" si="22"/>
        <v>233300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3075756</v>
      </c>
      <c r="M28" s="23">
        <f t="shared" si="23"/>
        <v>0</v>
      </c>
      <c r="N28" s="23">
        <f t="shared" ca="1" si="23"/>
        <v>1709397.959999999</v>
      </c>
      <c r="O28" s="22">
        <f t="shared" ref="O28:O30" ca="1" si="24">IF(L28&gt;0,N28*100/L28,0)</f>
        <v>55.576513871711512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3075756</v>
      </c>
      <c r="M30" s="30">
        <f t="shared" si="27"/>
        <v>0</v>
      </c>
      <c r="N30" s="30">
        <f t="shared" ca="1" si="27"/>
        <v>1709397.959999999</v>
      </c>
      <c r="O30" s="29">
        <f t="shared" ca="1" si="24"/>
        <v>55.576513871711512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3075756</v>
      </c>
      <c r="M32" s="39">
        <f t="shared" si="30"/>
        <v>0</v>
      </c>
      <c r="N32" s="39">
        <f t="shared" ca="1" si="30"/>
        <v>1709397.959999999</v>
      </c>
      <c r="O32" s="39">
        <f t="shared" ca="1" si="29"/>
        <v>55.576513871711512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3075756</v>
      </c>
      <c r="M34" s="39">
        <f t="shared" si="32"/>
        <v>0</v>
      </c>
      <c r="N34" s="39">
        <f t="shared" ca="1" si="32"/>
        <v>1709397.959999999</v>
      </c>
      <c r="O34" s="39">
        <f t="shared" ca="1" si="29"/>
        <v>55.576513871711512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3960805</v>
      </c>
      <c r="M37" s="55">
        <f t="shared" ca="1" si="33"/>
        <v>3151230</v>
      </c>
      <c r="N37" s="55">
        <f t="shared" ca="1" si="33"/>
        <v>2577234.09</v>
      </c>
      <c r="O37" s="56">
        <f t="shared" ca="1" si="29"/>
        <v>65.068441642544883</v>
      </c>
      <c r="P37" s="56">
        <f t="shared" ca="1" si="25"/>
        <v>81.785020134994909</v>
      </c>
    </row>
    <row r="38" spans="1:16" ht="21.75" customHeight="1" x14ac:dyDescent="0.45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978600</v>
      </c>
      <c r="M41" s="79">
        <f t="shared" ca="1" si="34"/>
        <v>776100</v>
      </c>
      <c r="N41" s="79">
        <f t="shared" ca="1" si="34"/>
        <v>659874.32000000007</v>
      </c>
      <c r="O41" s="78">
        <f t="shared" ref="O41:O43" ca="1" si="35">IF(L41&gt;0,N41*100/L41,0)</f>
        <v>67.430443490701009</v>
      </c>
      <c r="P41" s="78">
        <f t="shared" ref="P41:P43" ca="1" si="36">IF(M41&gt;0,N41*100/M41,0)</f>
        <v>85.024393763690256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978600</v>
      </c>
      <c r="M43" s="79">
        <f t="shared" ca="1" si="38"/>
        <v>776100</v>
      </c>
      <c r="N43" s="79">
        <f t="shared" ca="1" si="38"/>
        <v>659874.32000000007</v>
      </c>
      <c r="O43" s="78">
        <f t="shared" ca="1" si="35"/>
        <v>67.430443490701009</v>
      </c>
      <c r="P43" s="78">
        <f t="shared" ca="1" si="36"/>
        <v>85.024393763690256</v>
      </c>
    </row>
    <row r="44" spans="1:16" ht="21.75" customHeight="1" x14ac:dyDescent="0.45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810100</v>
      </c>
      <c r="M45" s="50">
        <f ca="1">IFERROR(__xludf.DUMMYFUNCTION("IMPORTRANGE(""https://docs.google.com/spreadsheets/d/1Yj_ptqi66GCucihVvJfMjLAmec39IyEx_6qawtMGysU/edit?usp=sharing"",""สบก!Q29"")"),607600)</f>
        <v>607600</v>
      </c>
      <c r="N45" s="50">
        <f ca="1">IFERROR(__xludf.DUMMYFUNCTION("IMPORTRANGE(""https://docs.google.com/spreadsheets/d/1Yj_ptqi66GCucihVvJfMjLAmec39IyEx_6qawtMGysU/edit?usp=sharing"",""สบก!R29"")"),491374.32)</f>
        <v>491374.32</v>
      </c>
      <c r="O45" s="39">
        <f ca="1">IF(L45&gt;0,N45*100/L45,0)</f>
        <v>60.656007900259226</v>
      </c>
      <c r="P45" s="39">
        <f ca="1">IF(M45&gt;0,N45*100/M45,0)</f>
        <v>80.871349572086899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IFERROR(__xludf.DUMMYFUNCTION("IMPORTRANGE(""https://docs.google.com/spreadsheets/d/1Yj_ptqi66GCucihVvJfMjLAmec39IyEx_6qawtMGysU/edit?usp=sharing"",""สบก!M29"")"),810100)</f>
        <v>810100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IFERROR(__xludf.DUMMYFUNCTION("IMPORTRANGE(""https://docs.google.com/spreadsheets/d/1Yj_ptqi66GCucihVvJfMjLAmec39IyEx_6qawtMGysU/edit?usp=sharing"",""สบก!N29"")"),0)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IFERROR(__xludf.DUMMYFUNCTION("IMPORTRANGE(""https://docs.google.com/spreadsheets/d/1Yj_ptqi66GCucihVvJfMjLAmec39IyEx_6qawtMGysU/edit?usp=sharing"",""สบก!O29"")"),168500)</f>
        <v>168500</v>
      </c>
      <c r="M49" s="50">
        <f ca="1">L49</f>
        <v>168500</v>
      </c>
      <c r="N49" s="50">
        <f ca="1">IFERROR(__xludf.DUMMYFUNCTION("IMPORTRANGE(""https://docs.google.com/spreadsheets/d/1Yj_ptqi66GCucihVvJfMjLAmec39IyEx_6qawtMGysU/edit?usp=sharing"",""สบก!S29"")"),168500)</f>
        <v>168500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564000</v>
      </c>
      <c r="M53" s="121">
        <f t="shared" ca="1" si="39"/>
        <v>450440</v>
      </c>
      <c r="N53" s="121">
        <f t="shared" ca="1" si="39"/>
        <v>372103</v>
      </c>
      <c r="O53" s="120">
        <f t="shared" ref="O53:O55" ca="1" si="40">IF(L53&gt;0,N53*100/L53,0)</f>
        <v>65.97570921985816</v>
      </c>
      <c r="P53" s="120">
        <f t="shared" ref="P53:P55" ca="1" si="41">IF(M53&gt;0,N53*100/M53,0)</f>
        <v>82.608782523754556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564000</v>
      </c>
      <c r="M55" s="121">
        <f t="shared" ca="1" si="43"/>
        <v>450440</v>
      </c>
      <c r="N55" s="121">
        <f t="shared" ca="1" si="43"/>
        <v>372103</v>
      </c>
      <c r="O55" s="120">
        <f t="shared" ca="1" si="40"/>
        <v>65.97570921985816</v>
      </c>
      <c r="P55" s="120">
        <f t="shared" ca="1" si="41"/>
        <v>82.608782523754556</v>
      </c>
    </row>
    <row r="56" spans="1:16" ht="21.75" customHeight="1" x14ac:dyDescent="0.45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564000</v>
      </c>
      <c r="M57" s="50">
        <f ca="1">IFERROR(__xludf.DUMMYFUNCTION("IMPORTRANGE(""https://docs.google.com/spreadsheets/d/1Yj_ptqi66GCucihVvJfMjLAmec39IyEx_6qawtMGysU/edit?usp=sharing"",""สบก!Z29"")"),450440)</f>
        <v>450440</v>
      </c>
      <c r="N57" s="50">
        <f ca="1">IFERROR(__xludf.DUMMYFUNCTION("IMPORTRANGE(""https://docs.google.com/spreadsheets/d/1Yj_ptqi66GCucihVvJfMjLAmec39IyEx_6qawtMGysU/edit?usp=sharing"",""สบก!AA29"")"),372103)</f>
        <v>372103</v>
      </c>
      <c r="O57" s="39">
        <f ca="1">IF(L57&gt;0,N57*100/L57,0)</f>
        <v>65.97570921985816</v>
      </c>
      <c r="P57" s="39">
        <f ca="1">IF(M57&gt;0,N57*100/M57,0)</f>
        <v>82.608782523754556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IFERROR(__xludf.DUMMYFUNCTION("IMPORTRANGE(""https://docs.google.com/spreadsheets/d/1Yj_ptqi66GCucihVvJfMjLAmec39IyEx_6qawtMGysU/edit?usp=sharing"",""สบก!V29"")"),564000)</f>
        <v>564000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IFERROR(__xludf.DUMMYFUNCTION("IMPORTRANGE(""https://docs.google.com/spreadsheets/d/1Yj_ptqi66GCucihVvJfMjLAmec39IyEx_6qawtMGysU/edit?usp=sharing"",""สบก!W29"")"),0)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IFERROR(__xludf.DUMMYFUNCTION("IMPORTRANGE(""https://docs.google.com/spreadsheets/d/1Yj_ptqi66GCucihVvJfMjLAmec39IyEx_6qawtMGysU/edit?usp=sharing"",""สบก!X29"")"),0)</f>
        <v>0</v>
      </c>
      <c r="M61" s="50"/>
      <c r="N61" s="50">
        <f ca="1">IFERROR(__xludf.DUMMYFUNCTION("IMPORTRANGE(""https://docs.google.com/spreadsheets/d/1Yj_ptqi66GCucihVvJfMjLAmec39IyEx_6qawtMGysU/edit?usp=sharing"",""สบก!AB29"")"),0)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IFERROR(__xludf.DUMMYFUNCTION("IMPORTRANGE(""https://docs.google.com/spreadsheets/d/11923uPwbBZFjjGgGUA6NLw09EwE0CqkOc4q9oUmW1yo/edit?usp=sharing"",""เพชรบูรณ์!I9"")"),1)</f>
        <v>1</v>
      </c>
      <c r="J64" s="142">
        <f ca="1">IFERROR(__xludf.DUMMYFUNCTION("IMPORTRANGE(""https://docs.google.com/spreadsheets/d/11923uPwbBZFjjGgGUA6NLw09EwE0CqkOc4q9oUmW1yo/edit?usp=sharing"",""เพชรบูรณ์!J9"")"),1)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IFERROR(__xludf.DUMMYFUNCTION("IMPORTRANGE(""https://docs.google.com/spreadsheets/d/11923uPwbBZFjjGgGUA6NLw09EwE0CqkOc4q9oUmW1yo/edit?usp=sharing"",""เพชรบูรณ์!I10"")"),35)</f>
        <v>35</v>
      </c>
      <c r="J65" s="142">
        <f ca="1">IFERROR(__xludf.DUMMYFUNCTION("IMPORTRANGE(""https://docs.google.com/spreadsheets/d/11923uPwbBZFjjGgGUA6NLw09EwE0CqkOc4q9oUmW1yo/edit?usp=sharing"",""เพชรบูรณ์!J10"")"),35)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577500</v>
      </c>
      <c r="M66" s="152">
        <f t="shared" ca="1" si="45"/>
        <v>470320</v>
      </c>
      <c r="N66" s="152">
        <f t="shared" ca="1" si="45"/>
        <v>358392.77</v>
      </c>
      <c r="O66" s="151">
        <f t="shared" ref="O66:O68" ca="1" si="46">IF(L66&gt;0,N66*100/L66,0)</f>
        <v>62.059354112554111</v>
      </c>
      <c r="P66" s="151">
        <f t="shared" ref="P66:P68" ca="1" si="47">IF(M66&gt;0,N66*100/M66,0)</f>
        <v>76.20189870726314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577500</v>
      </c>
      <c r="M68" s="88">
        <f t="shared" ca="1" si="49"/>
        <v>470320</v>
      </c>
      <c r="N68" s="88">
        <f t="shared" ca="1" si="49"/>
        <v>358392.77</v>
      </c>
      <c r="O68" s="156">
        <f t="shared" ca="1" si="46"/>
        <v>62.059354112554111</v>
      </c>
      <c r="P68" s="156">
        <f t="shared" ca="1" si="47"/>
        <v>76.20189870726314</v>
      </c>
    </row>
    <row r="69" spans="1:16" ht="21.75" customHeight="1" x14ac:dyDescent="0.45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577500</v>
      </c>
      <c r="M70" s="167">
        <f ca="1">IFERROR(__xludf.DUMMYFUNCTION("IMPORTRANGE(""https://docs.google.com/spreadsheets/d/1Yj_ptqi66GCucihVvJfMjLAmec39IyEx_6qawtMGysU/edit?usp=sharing"",""สบก!AI29"")"),470320)</f>
        <v>470320</v>
      </c>
      <c r="N70" s="168">
        <f ca="1">IFERROR(__xludf.DUMMYFUNCTION("IMPORTRANGE(""https://docs.google.com/spreadsheets/d/1Yj_ptqi66GCucihVvJfMjLAmec39IyEx_6qawtMGysU/edit?usp=sharing"",""สบก!AJ29"")"),358392.77)</f>
        <v>358392.77</v>
      </c>
      <c r="O70" s="168">
        <f ca="1">IF(L70&gt;0,N70*100/L70,0)</f>
        <v>62.059354112554111</v>
      </c>
      <c r="P70" s="168">
        <f ca="1">IF(M70&gt;0,N70*100/M70,0)</f>
        <v>76.20189870726314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IFERROR(__xludf.DUMMYFUNCTION("IMPORTRANGE(""https://docs.google.com/spreadsheets/d/1Yj_ptqi66GCucihVvJfMjLAmec39IyEx_6qawtMGysU/edit?usp=sharing"",""สบก!AE29"")"),179500)</f>
        <v>179500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IFERROR(__xludf.DUMMYFUNCTION("IMPORTRANGE(""https://docs.google.com/spreadsheets/d/1Yj_ptqi66GCucihVvJfMjLAmec39IyEx_6qawtMGysU/edit?usp=sharing"",""สบก!AF29"")"),398000)</f>
        <v>398000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IFERROR(__xludf.DUMMYFUNCTION("IMPORTRANGE(""https://docs.google.com/spreadsheets/d/1Yj_ptqi66GCucihVvJfMjLAmec39IyEx_6qawtMGysU/edit?usp=sharing"",""สบก!AG29"")"),0)</f>
        <v>0</v>
      </c>
      <c r="M74" s="50"/>
      <c r="N74" s="50">
        <f ca="1">IFERROR(__xludf.DUMMYFUNCTION("IMPORTRANGE(""https://docs.google.com/spreadsheets/d/1Yj_ptqi66GCucihVvJfMjLAmec39IyEx_6qawtMGysU/edit?usp=sharing"",""สบก!AK29"")"),0)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IFERROR(__xludf.DUMMYFUNCTION("IMPORTRANGE(""https://docs.google.com/spreadsheets/d/11923uPwbBZFjjGgGUA6NLw09EwE0CqkOc4q9oUmW1yo/edit?usp=sharing"",""เพชรบูรณ์!J16"")"),0)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IFERROR(__xludf.DUMMYFUNCTION("IMPORTRANGE(""https://docs.google.com/spreadsheets/d/11923uPwbBZFjjGgGUA6NLw09EwE0CqkOc4q9oUmW1yo/edit?usp=sharing"",""เพชรบูรณ์!J17"")"),1)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IFERROR(__xludf.DUMMYFUNCTION("IMPORTRANGE(""https://docs.google.com/spreadsheets/d/11923uPwbBZFjjGgGUA6NLw09EwE0CqkOc4q9oUmW1yo/edit?usp=sharing"",""เพชรบูรณ์!J18"")"),1)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IFERROR(__xludf.DUMMYFUNCTION("IMPORTRANGE(""https://docs.google.com/spreadsheets/d/11923uPwbBZFjjGgGUA6NLw09EwE0CqkOc4q9oUmW1yo/edit?usp=sharing"",""เพชรบูรณ์!J19"")"),1)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IFERROR(__xludf.DUMMYFUNCTION("IMPORTRANGE(""https://docs.google.com/spreadsheets/d/11923uPwbBZFjjGgGUA6NLw09EwE0CqkOc4q9oUmW1yo/edit?usp=sharing"",""เพชรบูรณ์!I20"")"),1)</f>
        <v>1</v>
      </c>
      <c r="J80" s="200">
        <f ca="1">IFERROR(__xludf.DUMMYFUNCTION("IMPORTRANGE(""https://docs.google.com/spreadsheets/d/11923uPwbBZFjjGgGUA6NLw09EwE0CqkOc4q9oUmW1yo/edit?usp=sharing"",""เพชรบูรณ์!J20"")"),1)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IFERROR(__xludf.DUMMYFUNCTION("IMPORTRANGE(""https://docs.google.com/spreadsheets/d/11923uPwbBZFjjGgGUA6NLw09EwE0CqkOc4q9oUmW1yo/edit?usp=sharing"",""เพชรบูรณ์!I21"")"),35)</f>
        <v>35</v>
      </c>
      <c r="J81" s="200">
        <f ca="1">IFERROR(__xludf.DUMMYFUNCTION("IMPORTRANGE(""https://docs.google.com/spreadsheets/d/11923uPwbBZFjjGgGUA6NLw09EwE0CqkOc4q9oUmW1yo/edit?usp=sharing"",""เพชรบูรณ์!J21"")"),35)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IFERROR(__xludf.DUMMYFUNCTION("IMPORTRANGE(""https://docs.google.com/spreadsheets/d/11923uPwbBZFjjGgGUA6NLw09EwE0CqkOc4q9oUmW1yo/edit?usp=sharing"",""เพชรบูรณ์!I22"")"),0)</f>
        <v>0</v>
      </c>
      <c r="J82" s="203">
        <f ca="1">IFERROR(__xludf.DUMMYFUNCTION("IMPORTRANGE(""https://docs.google.com/spreadsheets/d/11923uPwbBZFjjGgGUA6NLw09EwE0CqkOc4q9oUmW1yo/edit?usp=sharing"",""เพชรบูรณ์!J22"")"),0)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IFERROR(__xludf.DUMMYFUNCTION("IMPORTRANGE(""https://docs.google.com/spreadsheets/d/11923uPwbBZFjjGgGUA6NLw09EwE0CqkOc4q9oUmW1yo/edit?usp=sharing"",""เพชรบูรณ์!I23"")"),0)</f>
        <v>0</v>
      </c>
      <c r="J83" s="203">
        <f ca="1">IFERROR(__xludf.DUMMYFUNCTION("IMPORTRANGE(""https://docs.google.com/spreadsheets/d/11923uPwbBZFjjGgGUA6NLw09EwE0CqkOc4q9oUmW1yo/edit?usp=sharing"",""เพชรบูรณ์!J23"")"),0)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IFERROR(__xludf.DUMMYFUNCTION("IMPORTRANGE(""https://docs.google.com/spreadsheets/d/11923uPwbBZFjjGgGUA6NLw09EwE0CqkOc4q9oUmW1yo/edit?usp=sharing"",""เพชรบูรณ์!I24"")"),1)</f>
        <v>1</v>
      </c>
      <c r="J84" s="188">
        <f ca="1">IFERROR(__xludf.DUMMYFUNCTION("IMPORTRANGE(""https://docs.google.com/spreadsheets/d/11923uPwbBZFjjGgGUA6NLw09EwE0CqkOc4q9oUmW1yo/edit?usp=sharing"",""เพชรบูรณ์!J24"")"),1)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IFERROR(__xludf.DUMMYFUNCTION("IMPORTRANGE(""https://docs.google.com/spreadsheets/d/11923uPwbBZFjjGgGUA6NLw09EwE0CqkOc4q9oUmW1yo/edit?usp=sharing"",""เพชรบูรณ์!I25"")"),35)</f>
        <v>35</v>
      </c>
      <c r="J85" s="188">
        <f ca="1">IFERROR(__xludf.DUMMYFUNCTION("IMPORTRANGE(""https://docs.google.com/spreadsheets/d/11923uPwbBZFjjGgGUA6NLw09EwE0CqkOc4q9oUmW1yo/edit?usp=sharing"",""เพชรบูรณ์!J25"")"),35)</f>
        <v>35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IFERROR(__xludf.DUMMYFUNCTION("IMPORTRANGE(""https://docs.google.com/spreadsheets/d/11923uPwbBZFjjGgGUA6NLw09EwE0CqkOc4q9oUmW1yo/edit?usp=sharing"",""เพชรบูรณ์!I26"")"),0)</f>
        <v>0</v>
      </c>
      <c r="J86" s="203">
        <f ca="1">IFERROR(__xludf.DUMMYFUNCTION("IMPORTRANGE(""https://docs.google.com/spreadsheets/d/11923uPwbBZFjjGgGUA6NLw09EwE0CqkOc4q9oUmW1yo/edit?usp=sharing"",""เพชรบูรณ์!J26"")"),0)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IFERROR(__xludf.DUMMYFUNCTION("IMPORTRANGE(""https://docs.google.com/spreadsheets/d/11923uPwbBZFjjGgGUA6NLw09EwE0CqkOc4q9oUmW1yo/edit?usp=sharing"",""เพชรบูรณ์!I27"")"),0)</f>
        <v>0</v>
      </c>
      <c r="J87" s="203">
        <f ca="1">IFERROR(__xludf.DUMMYFUNCTION("IMPORTRANGE(""https://docs.google.com/spreadsheets/d/11923uPwbBZFjjGgGUA6NLw09EwE0CqkOc4q9oUmW1yo/edit?usp=sharing"",""เพชรบูรณ์!J27"")"),0)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IFERROR(__xludf.DUMMYFUNCTION("IMPORTRANGE(""https://docs.google.com/spreadsheets/d/11923uPwbBZFjjGgGUA6NLw09EwE0CqkOc4q9oUmW1yo/edit?usp=sharing"",""เพชรบูรณ์!I28"")"),1)</f>
        <v>1</v>
      </c>
      <c r="J88" s="203">
        <f ca="1">IFERROR(__xludf.DUMMYFUNCTION("IMPORTRANGE(""https://docs.google.com/spreadsheets/d/11923uPwbBZFjjGgGUA6NLw09EwE0CqkOc4q9oUmW1yo/edit?usp=sharing"",""เพชรบูรณ์!J28"")"),0)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IFERROR(__xludf.DUMMYFUNCTION("IMPORTRANGE(""https://docs.google.com/spreadsheets/d/11923uPwbBZFjjGgGUA6NLw09EwE0CqkOc4q9oUmW1yo/edit?usp=sharing"",""เพชรบูรณ์!J29"")"),0)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IFERROR(__xludf.DUMMYFUNCTION("IMPORTRANGE(""https://docs.google.com/spreadsheets/d/11923uPwbBZFjjGgGUA6NLw09EwE0CqkOc4q9oUmW1yo/edit?usp=sharing"",""เพชรบูรณ์!J30"")"),0)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IFERROR(__xludf.DUMMYFUNCTION("IMPORTRANGE(""https://docs.google.com/spreadsheets/d/11923uPwbBZFjjGgGUA6NLw09EwE0CqkOc4q9oUmW1yo/edit?usp=sharing"",""เพชรบูรณ์!I32"")"),0)</f>
        <v>0</v>
      </c>
      <c r="J92" s="142">
        <f ca="1">IFERROR(__xludf.DUMMYFUNCTION("IMPORTRANGE(""https://docs.google.com/spreadsheets/d/11923uPwbBZFjjGgGUA6NLw09EwE0CqkOc4q9oUmW1yo/edit?usp=sharing"",""เพชรบูรณ์!J32"")"),0)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IFERROR(__xludf.DUMMYFUNCTION("IMPORTRANGE(""https://docs.google.com/spreadsheets/d/11923uPwbBZFjjGgGUA6NLw09EwE0CqkOc4q9oUmW1yo/edit?usp=sharing"",""เพชรบูรณ์!I33"")"),0)</f>
        <v>0</v>
      </c>
      <c r="J93" s="142">
        <f ca="1">IFERROR(__xludf.DUMMYFUNCTION("IMPORTRANGE(""https://docs.google.com/spreadsheets/d/11923uPwbBZFjjGgGUA6NLw09EwE0CqkOc4q9oUmW1yo/edit?usp=sharing"",""เพชรบูรณ์!J33"")"),0)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IFERROR(__xludf.DUMMYFUNCTION("IMPORTRANGE(""https://docs.google.com/spreadsheets/d/1Yj_ptqi66GCucihVvJfMjLAmec39IyEx_6qawtMGysU/edit?usp=sharing"",""สบก!AR29"")"),0)</f>
        <v>0</v>
      </c>
      <c r="N98" s="168">
        <f ca="1">IFERROR(__xludf.DUMMYFUNCTION("IMPORTRANGE(""https://docs.google.com/spreadsheets/d/1Yj_ptqi66GCucihVvJfMjLAmec39IyEx_6qawtMGysU/edit?usp=sharing"",""สบก!AS29"")"),0)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IFERROR(__xludf.DUMMYFUNCTION("IMPORTRANGE(""https://docs.google.com/spreadsheets/d/1Yj_ptqi66GCucihVvJfMjLAmec39IyEx_6qawtMGysU/edit?usp=sharing"",""สบก!AN29"")"),0)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IFERROR(__xludf.DUMMYFUNCTION("IMPORTRANGE(""https://docs.google.com/spreadsheets/d/1Yj_ptqi66GCucihVvJfMjLAmec39IyEx_6qawtMGysU/edit?usp=sharing"",""สบก!AO29"")"),0)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IFERROR(__xludf.DUMMYFUNCTION("IMPORTRANGE(""https://docs.google.com/spreadsheets/d/1Yj_ptqi66GCucihVvJfMjLAmec39IyEx_6qawtMGysU/edit?usp=sharing"",""สบก!AP29"")"),0)</f>
        <v>0</v>
      </c>
      <c r="M102" s="50"/>
      <c r="N102" s="50">
        <f ca="1">IFERROR(__xludf.DUMMYFUNCTION("IMPORTRANGE(""https://docs.google.com/spreadsheets/d/1Yj_ptqi66GCucihVvJfMjLAmec39IyEx_6qawtMGysU/edit?usp=sharing"",""สบก!AT29"")"),0)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IFERROR(__xludf.DUMMYFUNCTION("IMPORTRANGE(""https://docs.google.com/spreadsheets/d/11923uPwbBZFjjGgGUA6NLw09EwE0CqkOc4q9oUmW1yo/edit?usp=sharing"",""เพชรบูรณ์!J39"")"),0)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IFERROR(__xludf.DUMMYFUNCTION("IMPORTRANGE(""https://docs.google.com/spreadsheets/d/11923uPwbBZFjjGgGUA6NLw09EwE0CqkOc4q9oUmW1yo/edit?usp=sharing"",""เพชรบูรณ์!J40"")"),0)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IFERROR(__xludf.DUMMYFUNCTION("IMPORTRANGE(""https://docs.google.com/spreadsheets/d/11923uPwbBZFjjGgGUA6NLw09EwE0CqkOc4q9oUmW1yo/edit?usp=sharing"",""เพชรบูรณ์!J41"")"),0)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IFERROR(__xludf.DUMMYFUNCTION("IMPORTRANGE(""https://docs.google.com/spreadsheets/d/11923uPwbBZFjjGgGUA6NLw09EwE0CqkOc4q9oUmW1yo/edit?usp=sharing"",""เพชรบูรณ์!J42"")"),0)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IFERROR(__xludf.DUMMYFUNCTION("IMPORTRANGE(""https://docs.google.com/spreadsheets/d/11923uPwbBZFjjGgGUA6NLw09EwE0CqkOc4q9oUmW1yo/edit?usp=sharing"",""เพชรบูรณ์!I43"")"),0)</f>
        <v>0</v>
      </c>
      <c r="J108" s="203">
        <f ca="1">IFERROR(__xludf.DUMMYFUNCTION("IMPORTRANGE(""https://docs.google.com/spreadsheets/d/11923uPwbBZFjjGgGUA6NLw09EwE0CqkOc4q9oUmW1yo/edit?usp=sharing"",""เพชรบูรณ์!J43"")"),0)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IFERROR(__xludf.DUMMYFUNCTION("IMPORTRANGE(""https://docs.google.com/spreadsheets/d/11923uPwbBZFjjGgGUA6NLw09EwE0CqkOc4q9oUmW1yo/edit?usp=sharing"",""เพชรบูรณ์!I44"")"),0)</f>
        <v>0</v>
      </c>
      <c r="J109" s="203">
        <f ca="1">IFERROR(__xludf.DUMMYFUNCTION("IMPORTRANGE(""https://docs.google.com/spreadsheets/d/11923uPwbBZFjjGgGUA6NLw09EwE0CqkOc4q9oUmW1yo/edit?usp=sharing"",""เพชรบูรณ์!J44"")"),0)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IFERROR(__xludf.DUMMYFUNCTION("IMPORTRANGE(""https://docs.google.com/spreadsheets/d/11923uPwbBZFjjGgGUA6NLw09EwE0CqkOc4q9oUmW1yo/edit?usp=sharing"",""เพชรบูรณ์!I45"")"),0)</f>
        <v>0</v>
      </c>
      <c r="J110" s="203">
        <f ca="1">IFERROR(__xludf.DUMMYFUNCTION("IMPORTRANGE(""https://docs.google.com/spreadsheets/d/11923uPwbBZFjjGgGUA6NLw09EwE0CqkOc4q9oUmW1yo/edit?usp=sharing"",""เพชรบูรณ์!J45"")"),0)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IFERROR(__xludf.DUMMYFUNCTION("IMPORTRANGE(""https://docs.google.com/spreadsheets/d/11923uPwbBZFjjGgGUA6NLw09EwE0CqkOc4q9oUmW1yo/edit?usp=sharing"",""เพชรบูรณ์!I46"")"),0)</f>
        <v>0</v>
      </c>
      <c r="J111" s="203">
        <f ca="1">IFERROR(__xludf.DUMMYFUNCTION("IMPORTRANGE(""https://docs.google.com/spreadsheets/d/11923uPwbBZFjjGgGUA6NLw09EwE0CqkOc4q9oUmW1yo/edit?usp=sharing"",""เพชรบูรณ์!J46"")"),0)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IFERROR(__xludf.DUMMYFUNCTION("IMPORTRANGE(""https://docs.google.com/spreadsheets/d/11923uPwbBZFjjGgGUA6NLw09EwE0CqkOc4q9oUmW1yo/edit?usp=sharing"",""เพชรบูรณ์!I47"")"),0)</f>
        <v>0</v>
      </c>
      <c r="J112" s="203">
        <f ca="1">IFERROR(__xludf.DUMMYFUNCTION("IMPORTRANGE(""https://docs.google.com/spreadsheets/d/11923uPwbBZFjjGgGUA6NLw09EwE0CqkOc4q9oUmW1yo/edit?usp=sharing"",""เพชรบูรณ์!J47"")"),0)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IFERROR(__xludf.DUMMYFUNCTION("IMPORTRANGE(""https://docs.google.com/spreadsheets/d/11923uPwbBZFjjGgGUA6NLw09EwE0CqkOc4q9oUmW1yo/edit?usp=sharing"",""เพชรบูรณ์!I48"")"),0)</f>
        <v>0</v>
      </c>
      <c r="J113" s="203">
        <f ca="1">IFERROR(__xludf.DUMMYFUNCTION("IMPORTRANGE(""https://docs.google.com/spreadsheets/d/11923uPwbBZFjjGgGUA6NLw09EwE0CqkOc4q9oUmW1yo/edit?usp=sharing"",""เพชรบูรณ์!J48"")"),0)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IFERROR(__xludf.DUMMYFUNCTION("IMPORTRANGE(""https://docs.google.com/spreadsheets/d/11923uPwbBZFjjGgGUA6NLw09EwE0CqkOc4q9oUmW1yo/edit?usp=sharing"",""เพชรบูรณ์!J49"")"),0)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IFERROR(__xludf.DUMMYFUNCTION("IMPORTRANGE(""https://docs.google.com/spreadsheets/d/11923uPwbBZFjjGgGUA6NLw09EwE0CqkOc4q9oUmW1yo/edit?usp=sharing"",""เพชรบูรณ์!J50"")"),0)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IFERROR(__xludf.DUMMYFUNCTION("IMPORTRANGE(""https://docs.google.com/spreadsheets/d/11923uPwbBZFjjGgGUA6NLw09EwE0CqkOc4q9oUmW1yo/edit?usp=sharing"",""เพชรบูรณ์!I52"")"),20)</f>
        <v>20</v>
      </c>
      <c r="J117" s="142">
        <f ca="1">IFERROR(__xludf.DUMMYFUNCTION("IMPORTRANGE(""https://docs.google.com/spreadsheets/d/11923uPwbBZFjjGgGUA6NLw09EwE0CqkOc4q9oUmW1yo/edit?usp=sharing"",""เพชรบูรณ์!J52"")"),20)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74670</v>
      </c>
      <c r="O118" s="151">
        <f t="shared" ref="O118:O120" ca="1" si="59">IF(L118&gt;0,N118*100/L118,0)</f>
        <v>90.574963609898106</v>
      </c>
      <c r="P118" s="151">
        <f t="shared" ref="P118:P120" ca="1" si="60">IF(M118&gt;0,N118*100/M118,0)</f>
        <v>90.574963609898106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74670</v>
      </c>
      <c r="O120" s="156">
        <f t="shared" ca="1" si="59"/>
        <v>90.574963609898106</v>
      </c>
      <c r="P120" s="156">
        <f t="shared" ca="1" si="60"/>
        <v>90.574963609898106</v>
      </c>
    </row>
    <row r="121" spans="1:16" ht="21.75" customHeight="1" x14ac:dyDescent="0.45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IFERROR(__xludf.DUMMYFUNCTION("IMPORTRANGE(""https://docs.google.com/spreadsheets/d/1Yj_ptqi66GCucihVvJfMjLAmec39IyEx_6qawtMGysU/edit?usp=sharing"",""สบก!BA29"")"),82440)</f>
        <v>82440</v>
      </c>
      <c r="N122" s="168">
        <f ca="1">IFERROR(__xludf.DUMMYFUNCTION("IMPORTRANGE(""https://docs.google.com/spreadsheets/d/1Yj_ptqi66GCucihVvJfMjLAmec39IyEx_6qawtMGysU/edit?usp=sharing"",""สบก!BB29"")"),74670)</f>
        <v>74670</v>
      </c>
      <c r="O122" s="168">
        <f ca="1">IF(L122&gt;0,N122*100/L122,0)</f>
        <v>90.574963609898106</v>
      </c>
      <c r="P122" s="168">
        <f ca="1">IF(M122&gt;0,N122*100/M122,0)</f>
        <v>90.574963609898106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IFERROR(__xludf.DUMMYFUNCTION("IMPORTRANGE(""https://docs.google.com/spreadsheets/d/1Yj_ptqi66GCucihVvJfMjLAmec39IyEx_6qawtMGysU/edit?usp=sharing"",""สบก!AW29"")"),0)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IFERROR(__xludf.DUMMYFUNCTION("IMPORTRANGE(""https://docs.google.com/spreadsheets/d/1Yj_ptqi66GCucihVvJfMjLAmec39IyEx_6qawtMGysU/edit?usp=sharing"",""สบก!AX29"")"),82440)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IFERROR(__xludf.DUMMYFUNCTION("IMPORTRANGE(""https://docs.google.com/spreadsheets/d/1Yj_ptqi66GCucihVvJfMjLAmec39IyEx_6qawtMGysU/edit?usp=sharing"",""สบก!AY29"")"),0)</f>
        <v>0</v>
      </c>
      <c r="M126" s="50"/>
      <c r="N126" s="50">
        <f ca="1">IFERROR(__xludf.DUMMYFUNCTION("IMPORTRANGE(""https://docs.google.com/spreadsheets/d/1Yj_ptqi66GCucihVvJfMjLAmec39IyEx_6qawtMGysU/edit?usp=sharing"",""สบก!BC29"")"),0)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279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IFERROR(__xludf.DUMMYFUNCTION("IMPORTRANGE(""https://docs.google.com/spreadsheets/d/11923uPwbBZFjjGgGUA6NLw09EwE0CqkOc4q9oUmW1yo/edit?usp=sharing"",""เพชรบูรณ์!J58"")"),0)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IFERROR(__xludf.DUMMYFUNCTION("IMPORTRANGE(""https://docs.google.com/spreadsheets/d/11923uPwbBZFjjGgGUA6NLw09EwE0CqkOc4q9oUmW1yo/edit?usp=sharing"",""เพชรบูรณ์!J59"")"),1)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IFERROR(__xludf.DUMMYFUNCTION("IMPORTRANGE(""https://docs.google.com/spreadsheets/d/11923uPwbBZFjjGgGUA6NLw09EwE0CqkOc4q9oUmW1yo/edit?usp=sharing"",""เพชรบูรณ์!J60"")"),1)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IFERROR(__xludf.DUMMYFUNCTION("IMPORTRANGE(""https://docs.google.com/spreadsheets/d/11923uPwbBZFjjGgGUA6NLw09EwE0CqkOc4q9oUmW1yo/edit?usp=sharing"",""เพชรบูรณ์!J61"")"),0)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IFERROR(__xludf.DUMMYFUNCTION("IMPORTRANGE(""https://docs.google.com/spreadsheets/d/11923uPwbBZFjjGgGUA6NLw09EwE0CqkOc4q9oUmW1yo/edit?usp=sharing"",""เพชรบูรณ์!I62"")"),20)</f>
        <v>20</v>
      </c>
      <c r="J132" s="203">
        <f ca="1">IFERROR(__xludf.DUMMYFUNCTION("IMPORTRANGE(""https://docs.google.com/spreadsheets/d/11923uPwbBZFjjGgGUA6NLw09EwE0CqkOc4q9oUmW1yo/edit?usp=sharing"",""เพชรบูรณ์!J62"")"),20)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IFERROR(__xludf.DUMMYFUNCTION("IMPORTRANGE(""https://docs.google.com/spreadsheets/d/11923uPwbBZFjjGgGUA6NLw09EwE0CqkOc4q9oUmW1yo/edit?usp=sharing"",""เพชรบูรณ์!I63"")"),20)</f>
        <v>20</v>
      </c>
      <c r="J133" s="203">
        <f ca="1">IFERROR(__xludf.DUMMYFUNCTION("IMPORTRANGE(""https://docs.google.com/spreadsheets/d/11923uPwbBZFjjGgGUA6NLw09EwE0CqkOc4q9oUmW1yo/edit?usp=sharing"",""เพชรบูรณ์!J63"")"),20)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IFERROR(__xludf.DUMMYFUNCTION("IMPORTRANGE(""https://docs.google.com/spreadsheets/d/11923uPwbBZFjjGgGUA6NLw09EwE0CqkOc4q9oUmW1yo/edit?usp=sharing"",""เพชรบูรณ์!J64"")"),0)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IFERROR(__xludf.DUMMYFUNCTION("IMPORTRANGE(""https://docs.google.com/spreadsheets/d/11923uPwbBZFjjGgGUA6NLw09EwE0CqkOc4q9oUmW1yo/edit?usp=sharing"",""เพชรบูรณ์!J65"")"),0)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IFERROR(__xludf.DUMMYFUNCTION("IMPORTRANGE(""https://docs.google.com/spreadsheets/d/11923uPwbBZFjjGgGUA6NLw09EwE0CqkOc4q9oUmW1yo/edit?usp=sharing"",""เพชรบูรณ์!I68"")"),15)</f>
        <v>15</v>
      </c>
      <c r="J138" s="267">
        <f ca="1">IFERROR(__xludf.DUMMYFUNCTION("IMPORTRANGE(""https://docs.google.com/spreadsheets/d/11923uPwbBZFjjGgGUA6NLw09EwE0CqkOc4q9oUmW1yo/edit?usp=sharing"",""เพชรบูรณ์!J68"")"),15)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254700</v>
      </c>
      <c r="M140" s="152">
        <f t="shared" ca="1" si="64"/>
        <v>233225</v>
      </c>
      <c r="N140" s="152">
        <f t="shared" ca="1" si="64"/>
        <v>154730</v>
      </c>
      <c r="O140" s="151">
        <f t="shared" ref="O140:O142" ca="1" si="65">IF(L140&gt;0,N140*100/L140,0)</f>
        <v>60.749901845308209</v>
      </c>
      <c r="P140" s="151">
        <f t="shared" ref="P140:P142" ca="1" si="66">IF(M140&gt;0,N140*100/M140,0)</f>
        <v>66.343659556222534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254700</v>
      </c>
      <c r="M142" s="88">
        <f t="shared" ca="1" si="68"/>
        <v>233225</v>
      </c>
      <c r="N142" s="88">
        <f t="shared" ca="1" si="68"/>
        <v>154730</v>
      </c>
      <c r="O142" s="156">
        <f t="shared" ca="1" si="65"/>
        <v>60.749901845308209</v>
      </c>
      <c r="P142" s="156">
        <f t="shared" ca="1" si="66"/>
        <v>66.343659556222534</v>
      </c>
    </row>
    <row r="143" spans="1:16" ht="21.75" customHeight="1" x14ac:dyDescent="0.45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254700</v>
      </c>
      <c r="M144" s="167">
        <f ca="1">IFERROR(__xludf.DUMMYFUNCTION("IMPORTRANGE(""https://docs.google.com/spreadsheets/d/1Yj_ptqi66GCucihVvJfMjLAmec39IyEx_6qawtMGysU/edit?usp=sharing"",""สบก!BJ29"")"),233225)</f>
        <v>233225</v>
      </c>
      <c r="N144" s="168">
        <f ca="1">IFERROR(__xludf.DUMMYFUNCTION("IMPORTRANGE(""https://docs.google.com/spreadsheets/d/1Yj_ptqi66GCucihVvJfMjLAmec39IyEx_6qawtMGysU/edit?usp=sharing"",""สบก!BK29"")"),154730)</f>
        <v>154730</v>
      </c>
      <c r="O144" s="168">
        <f ca="1">IF(L144&gt;0,N144*100/L144,0)</f>
        <v>60.749901845308209</v>
      </c>
      <c r="P144" s="168">
        <f ca="1">IF(M144&gt;0,N144*100/M144,0)</f>
        <v>66.343659556222534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IFERROR(__xludf.DUMMYFUNCTION("IMPORTRANGE(""https://docs.google.com/spreadsheets/d/1Yj_ptqi66GCucihVvJfMjLAmec39IyEx_6qawtMGysU/edit?usp=sharing"",""สบก!BF29"")"),132000)</f>
        <v>132000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IFERROR(__xludf.DUMMYFUNCTION("IMPORTRANGE(""https://docs.google.com/spreadsheets/d/1Yj_ptqi66GCucihVvJfMjLAmec39IyEx_6qawtMGysU/edit?usp=sharing"",""สบก!BG29"")"),122700)</f>
        <v>122700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IFERROR(__xludf.DUMMYFUNCTION("IMPORTRANGE(""https://docs.google.com/spreadsheets/d/1Yj_ptqi66GCucihVvJfMjLAmec39IyEx_6qawtMGysU/edit?usp=sharing"",""สบก!BH29"")"),0)</f>
        <v>0</v>
      </c>
      <c r="M148" s="50"/>
      <c r="N148" s="50">
        <f ca="1">IFERROR(__xludf.DUMMYFUNCTION("IMPORTRANGE(""https://docs.google.com/spreadsheets/d/1Yj_ptqi66GCucihVvJfMjLAmec39IyEx_6qawtMGysU/edit?usp=sharing"",""สบก!BL29"")"),0)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IFERROR(__xludf.DUMMYFUNCTION("IMPORTRANGE(""https://docs.google.com/spreadsheets/d/11923uPwbBZFjjGgGUA6NLw09EwE0CqkOc4q9oUmW1yo/edit?usp=sharing"",""เพชรบูรณ์!I74"")"),4)</f>
        <v>4</v>
      </c>
      <c r="J149" s="275">
        <f ca="1">IFERROR(__xludf.DUMMYFUNCTION("IMPORTRANGE(""https://docs.google.com/spreadsheets/d/11923uPwbBZFjjGgGUA6NLw09EwE0CqkOc4q9oUmW1yo/edit?usp=sharing"",""เพชรบูรณ์!J74"")"),3)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IFERROR(__xludf.DUMMYFUNCTION("IMPORTRANGE(""https://docs.google.com/spreadsheets/d/11923uPwbBZFjjGgGUA6NLw09EwE0CqkOc4q9oUmW1yo/edit?usp=sharing"",""เพชรบูรณ์!J79"")"),0)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IFERROR(__xludf.DUMMYFUNCTION("IMPORTRANGE(""https://docs.google.com/spreadsheets/d/11923uPwbBZFjjGgGUA6NLw09EwE0CqkOc4q9oUmW1yo/edit?usp=sharing"",""เพชรบูรณ์!J80"")"),1)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IFERROR(__xludf.DUMMYFUNCTION("IMPORTRANGE(""https://docs.google.com/spreadsheets/d/11923uPwbBZFjjGgGUA6NLw09EwE0CqkOc4q9oUmW1yo/edit?usp=sharing"",""เพชรบูรณ์!J81"")"),1)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IFERROR(__xludf.DUMMYFUNCTION("IMPORTRANGE(""https://docs.google.com/spreadsheets/d/11923uPwbBZFjjGgGUA6NLw09EwE0CqkOc4q9oUmW1yo/edit?usp=sharing"",""เพชรบูรณ์!J82"")"),1)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IFERROR(__xludf.DUMMYFUNCTION("IMPORTRANGE(""https://docs.google.com/spreadsheets/d/11923uPwbBZFjjGgGUA6NLw09EwE0CqkOc4q9oUmW1yo/edit?usp=sharing"",""เพชรบูรณ์!I83"")"),4)</f>
        <v>4</v>
      </c>
      <c r="J158" s="188">
        <f ca="1">IFERROR(__xludf.DUMMYFUNCTION("IMPORTRANGE(""https://docs.google.com/spreadsheets/d/11923uPwbBZFjjGgGUA6NLw09EwE0CqkOc4q9oUmW1yo/edit?usp=sharing"",""เพชรบูรณ์!J83"")"),3)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IFERROR(__xludf.DUMMYFUNCTION("IMPORTRANGE(""https://docs.google.com/spreadsheets/d/11923uPwbBZFjjGgGUA6NLw09EwE0CqkOc4q9oUmW1yo/edit?usp=sharing"",""เพชรบูรณ์!J84"")"),178)</f>
        <v>178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IFERROR(__xludf.DUMMYFUNCTION("IMPORTRANGE(""https://docs.google.com/spreadsheets/d/11923uPwbBZFjjGgGUA6NLw09EwE0CqkOc4q9oUmW1yo/edit?usp=sharing"",""เพชรบูรณ์!J85"")"),178)</f>
        <v>178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IFERROR(__xludf.DUMMYFUNCTION("IMPORTRANGE(""https://docs.google.com/spreadsheets/d/11923uPwbBZFjjGgGUA6NLw09EwE0CqkOc4q9oUmW1yo/edit?usp=sharing"",""เพชรบูรณ์!J86"")"),0)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IFERROR(__xludf.DUMMYFUNCTION("IMPORTRANGE(""https://docs.google.com/spreadsheets/d/11923uPwbBZFjjGgGUA6NLw09EwE0CqkOc4q9oUmW1yo/edit?usp=sharing"",""เพชรบูรณ์!J87"")"),0)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IFERROR(__xludf.DUMMYFUNCTION("IMPORTRANGE(""https://docs.google.com/spreadsheets/d/11923uPwbBZFjjGgGUA6NLw09EwE0CqkOc4q9oUmW1yo/edit?usp=sharing"",""เพชรบูรณ์!J88"")"),0)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IFERROR(__xludf.DUMMYFUNCTION("IMPORTRANGE(""https://docs.google.com/spreadsheets/d/11923uPwbBZFjjGgGUA6NLw09EwE0CqkOc4q9oUmW1yo/edit?usp=sharing"",""เพชรบูรณ์!I89"")"),2)</f>
        <v>2</v>
      </c>
      <c r="J164" s="284">
        <f ca="1">IFERROR(__xludf.DUMMYFUNCTION("IMPORTRANGE(""https://docs.google.com/spreadsheets/d/11923uPwbBZFjjGgGUA6NLw09EwE0CqkOc4q9oUmW1yo/edit?usp=sharing"",""เพชรบูรณ์!J89"")"),2)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IFERROR(__xludf.DUMMYFUNCTION("IMPORTRANGE(""https://docs.google.com/spreadsheets/d/11923uPwbBZFjjGgGUA6NLw09EwE0CqkOc4q9oUmW1yo/edit?usp=sharing"",""เพชรบูรณ์!J94"")"),0)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IFERROR(__xludf.DUMMYFUNCTION("IMPORTRANGE(""https://docs.google.com/spreadsheets/d/11923uPwbBZFjjGgGUA6NLw09EwE0CqkOc4q9oUmW1yo/edit?usp=sharing"",""เพชรบูรณ์!J95"")"),0)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IFERROR(__xludf.DUMMYFUNCTION("IMPORTRANGE(""https://docs.google.com/spreadsheets/d/11923uPwbBZFjjGgGUA6NLw09EwE0CqkOc4q9oUmW1yo/edit?usp=sharing"",""เพชรบูรณ์!J96"")"),0)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IFERROR(__xludf.DUMMYFUNCTION("IMPORTRANGE(""https://docs.google.com/spreadsheets/d/11923uPwbBZFjjGgGUA6NLw09EwE0CqkOc4q9oUmW1yo/edit?usp=sharing"",""เพชรบูรณ์!J97"")"),0)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IFERROR(__xludf.DUMMYFUNCTION("IMPORTRANGE(""https://docs.google.com/spreadsheets/d/11923uPwbBZFjjGgGUA6NLw09EwE0CqkOc4q9oUmW1yo/edit?usp=sharing"",""เพชรบูรณ์!I98"")"),2)</f>
        <v>2</v>
      </c>
      <c r="J173" s="188">
        <f ca="1">IFERROR(__xludf.DUMMYFUNCTION("IMPORTRANGE(""https://docs.google.com/spreadsheets/d/11923uPwbBZFjjGgGUA6NLw09EwE0CqkOc4q9oUmW1yo/edit?usp=sharing"",""เพชรบูรณ์!J98"")"),2)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IFERROR(__xludf.DUMMYFUNCTION("IMPORTRANGE(""https://docs.google.com/spreadsheets/d/11923uPwbBZFjjGgGUA6NLw09EwE0CqkOc4q9oUmW1yo/edit?usp=sharing"",""เพชรบูรณ์!J99"")"),0)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IFERROR(__xludf.DUMMYFUNCTION("IMPORTRANGE(""https://docs.google.com/spreadsheets/d/11923uPwbBZFjjGgGUA6NLw09EwE0CqkOc4q9oUmW1yo/edit?usp=sharing"",""เพชรบูรณ์!J100"")"),1)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IFERROR(__xludf.DUMMYFUNCTION("IMPORTRANGE(""https://docs.google.com/spreadsheets/d/11923uPwbBZFjjGgGUA6NLw09EwE0CqkOc4q9oUmW1yo/edit?usp=sharing"",""เพชรบูรณ์!I101"")"),2)</f>
        <v>2</v>
      </c>
      <c r="J176" s="284">
        <f ca="1">IFERROR(__xludf.DUMMYFUNCTION("IMPORTRANGE(""https://docs.google.com/spreadsheets/d/11923uPwbBZFjjGgGUA6NLw09EwE0CqkOc4q9oUmW1yo/edit?usp=sharing"",""เพชรบูรณ์!J101"")"),1)</f>
        <v>1</v>
      </c>
      <c r="K176" s="285">
        <f ca="1">IF(I176&gt;0,J176*100/I176,0)</f>
        <v>50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IFERROR(__xludf.DUMMYFUNCTION("IMPORTRANGE(""https://docs.google.com/spreadsheets/d/11923uPwbBZFjjGgGUA6NLw09EwE0CqkOc4q9oUmW1yo/edit?usp=sharing"",""เพชรบูรณ์!J106"")"),0)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IFERROR(__xludf.DUMMYFUNCTION("IMPORTRANGE(""https://docs.google.com/spreadsheets/d/11923uPwbBZFjjGgGUA6NLw09EwE0CqkOc4q9oUmW1yo/edit?usp=sharing"",""เพชรบูรณ์!J107"")"),1)</f>
        <v>1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IFERROR(__xludf.DUMMYFUNCTION("IMPORTRANGE(""https://docs.google.com/spreadsheets/d/11923uPwbBZFjjGgGUA6NLw09EwE0CqkOc4q9oUmW1yo/edit?usp=sharing"",""เพชรบูรณ์!J108"")"),0)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IFERROR(__xludf.DUMMYFUNCTION("IMPORTRANGE(""https://docs.google.com/spreadsheets/d/11923uPwbBZFjjGgGUA6NLw09EwE0CqkOc4q9oUmW1yo/edit?usp=sharing"",""เพชรบูรณ์!J109"")"),0)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IFERROR(__xludf.DUMMYFUNCTION("IMPORTRANGE(""https://docs.google.com/spreadsheets/d/11923uPwbBZFjjGgGUA6NLw09EwE0CqkOc4q9oUmW1yo/edit?usp=sharing"",""เพชรบูรณ์!I110"")"),2)</f>
        <v>2</v>
      </c>
      <c r="J185" s="203">
        <f ca="1">IFERROR(__xludf.DUMMYFUNCTION("IMPORTRANGE(""https://docs.google.com/spreadsheets/d/11923uPwbBZFjjGgGUA6NLw09EwE0CqkOc4q9oUmW1yo/edit?usp=sharing"",""เพชรบูรณ์!J110"")"),1)</f>
        <v>1</v>
      </c>
      <c r="K185" s="224">
        <f t="shared" ref="K185:K186" ca="1" si="69">IF(I185&gt;0,J185*100/I185,0)</f>
        <v>50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IFERROR(__xludf.DUMMYFUNCTION("IMPORTRANGE(""https://docs.google.com/spreadsheets/d/11923uPwbBZFjjGgGUA6NLw09EwE0CqkOc4q9oUmW1yo/edit?usp=sharing"",""เพชรบูรณ์!I111"")"),2)</f>
        <v>2</v>
      </c>
      <c r="J186" s="203">
        <f ca="1">IFERROR(__xludf.DUMMYFUNCTION("IMPORTRANGE(""https://docs.google.com/spreadsheets/d/11923uPwbBZFjjGgGUA6NLw09EwE0CqkOc4q9oUmW1yo/edit?usp=sharing"",""เพชรบูรณ์!J111"")"),1)</f>
        <v>1</v>
      </c>
      <c r="K186" s="224">
        <f t="shared" ca="1" si="69"/>
        <v>50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IFERROR(__xludf.DUMMYFUNCTION("IMPORTRANGE(""https://docs.google.com/spreadsheets/d/11923uPwbBZFjjGgGUA6NLw09EwE0CqkOc4q9oUmW1yo/edit?usp=sharing"",""เพชรบูรณ์!J112"")"),0)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IFERROR(__xludf.DUMMYFUNCTION("IMPORTRANGE(""https://docs.google.com/spreadsheets/d/11923uPwbBZFjjGgGUA6NLw09EwE0CqkOc4q9oUmW1yo/edit?usp=sharing"",""เพชรบูรณ์!J113"")"),0)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IFERROR(__xludf.DUMMYFUNCTION("IMPORTRANGE(""https://docs.google.com/spreadsheets/d/11923uPwbBZFjjGgGUA6NLw09EwE0CqkOc4q9oUmW1yo/edit?usp=sharing"",""เพชรบูรณ์!I114"")"),128000)</f>
        <v>128000</v>
      </c>
      <c r="J189" s="284">
        <f ca="1">IFERROR(__xludf.DUMMYFUNCTION("IMPORTRANGE(""https://docs.google.com/spreadsheets/d/11923uPwbBZFjjGgGUA6NLw09EwE0CqkOc4q9oUmW1yo/edit?usp=sharing"",""เพชรบูรณ์!J114"")"),0)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IFERROR(__xludf.DUMMYFUNCTION("IMPORTRANGE(""https://docs.google.com/spreadsheets/d/11923uPwbBZFjjGgGUA6NLw09EwE0CqkOc4q9oUmW1yo/edit?usp=sharing"",""เพชรบูรณ์!J119"")"),0)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IFERROR(__xludf.DUMMYFUNCTION("IMPORTRANGE(""https://docs.google.com/spreadsheets/d/11923uPwbBZFjjGgGUA6NLw09EwE0CqkOc4q9oUmW1yo/edit?usp=sharing"",""เพชรบูรณ์!J120"")"),1)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IFERROR(__xludf.DUMMYFUNCTION("IMPORTRANGE(""https://docs.google.com/spreadsheets/d/11923uPwbBZFjjGgGUA6NLw09EwE0CqkOc4q9oUmW1yo/edit?usp=sharing"",""เพชรบูรณ์!J121"")"),1)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IFERROR(__xludf.DUMMYFUNCTION("IMPORTRANGE(""https://docs.google.com/spreadsheets/d/11923uPwbBZFjjGgGUA6NLw09EwE0CqkOc4q9oUmW1yo/edit?usp=sharing"",""เพชรบูรณ์!J122"")"),1)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IFERROR(__xludf.DUMMYFUNCTION("IMPORTRANGE(""https://docs.google.com/spreadsheets/d/11923uPwbBZFjjGgGUA6NLw09EwE0CqkOc4q9oUmW1yo/edit?usp=sharing"",""เพชรบูรณ์!I124"")"),128000)</f>
        <v>128000</v>
      </c>
      <c r="J199" s="188">
        <f ca="1">IFERROR(__xludf.DUMMYFUNCTION("IMPORTRANGE(""https://docs.google.com/spreadsheets/d/11923uPwbBZFjjGgGUA6NLw09EwE0CqkOc4q9oUmW1yo/edit?usp=sharing"",""เพชรบูรณ์!J124"")"),128000)</f>
        <v>128000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IFERROR(__xludf.DUMMYFUNCTION("IMPORTRANGE(""https://docs.google.com/spreadsheets/d/11923uPwbBZFjjGgGUA6NLw09EwE0CqkOc4q9oUmW1yo/edit?usp=sharing"",""เพชรบูรณ์!I125"")"),128000)</f>
        <v>128000</v>
      </c>
      <c r="J200" s="188">
        <f ca="1">IFERROR(__xludf.DUMMYFUNCTION("IMPORTRANGE(""https://docs.google.com/spreadsheets/d/11923uPwbBZFjjGgGUA6NLw09EwE0CqkOc4q9oUmW1yo/edit?usp=sharing"",""เพชรบูรณ์!J125"")"),0)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IFERROR(__xludf.DUMMYFUNCTION("IMPORTRANGE(""https://docs.google.com/spreadsheets/d/11923uPwbBZFjjGgGUA6NLw09EwE0CqkOc4q9oUmW1yo/edit?usp=sharing"",""เพชรบูรณ์!I126"")"),15)</f>
        <v>15</v>
      </c>
      <c r="J201" s="188">
        <f ca="1">IFERROR(__xludf.DUMMYFUNCTION("IMPORTRANGE(""https://docs.google.com/spreadsheets/d/11923uPwbBZFjjGgGUA6NLw09EwE0CqkOc4q9oUmW1yo/edit?usp=sharing"",""เพชรบูรณ์!J126"")"),15)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IFERROR(__xludf.DUMMYFUNCTION("IMPORTRANGE(""https://docs.google.com/spreadsheets/d/11923uPwbBZFjjGgGUA6NLw09EwE0CqkOc4q9oUmW1yo/edit?usp=sharing"",""เพชรบูรณ์!J127"")"),0)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IFERROR(__xludf.DUMMYFUNCTION("IMPORTRANGE(""https://docs.google.com/spreadsheets/d/11923uPwbBZFjjGgGUA6NLw09EwE0CqkOc4q9oUmW1yo/edit?usp=sharing"",""เพชรบูรณ์!J128"")"),0)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IFERROR(__xludf.DUMMYFUNCTION("IMPORTRANGE(""https://docs.google.com/spreadsheets/d/11923uPwbBZFjjGgGUA6NLw09EwE0CqkOc4q9oUmW1yo/edit?usp=sharing"",""เพชรบูรณ์!I129"")"),0)</f>
        <v>0</v>
      </c>
      <c r="J204" s="284">
        <f ca="1">IFERROR(__xludf.DUMMYFUNCTION("IMPORTRANGE(""https://docs.google.com/spreadsheets/d/11923uPwbBZFjjGgGUA6NLw09EwE0CqkOc4q9oUmW1yo/edit?usp=sharing"",""เพชรบูรณ์!J129"")"),0)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IFERROR(__xludf.DUMMYFUNCTION("IMPORTRANGE(""https://docs.google.com/spreadsheets/d/11923uPwbBZFjjGgGUA6NLw09EwE0CqkOc4q9oUmW1yo/edit?usp=sharing"",""เพชรบูรณ์!J134"")"),0)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IFERROR(__xludf.DUMMYFUNCTION("IMPORTRANGE(""https://docs.google.com/spreadsheets/d/11923uPwbBZFjjGgGUA6NLw09EwE0CqkOc4q9oUmW1yo/edit?usp=sharing"",""เพชรบูรณ์!J135"")"),0)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IFERROR(__xludf.DUMMYFUNCTION("IMPORTRANGE(""https://docs.google.com/spreadsheets/d/11923uPwbBZFjjGgGUA6NLw09EwE0CqkOc4q9oUmW1yo/edit?usp=sharing"",""เพชรบูรณ์!J136"")"),0)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IFERROR(__xludf.DUMMYFUNCTION("IMPORTRANGE(""https://docs.google.com/spreadsheets/d/11923uPwbBZFjjGgGUA6NLw09EwE0CqkOc4q9oUmW1yo/edit?usp=sharing"",""เพชรบูรณ์!J137"")"),0)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IFERROR(__xludf.DUMMYFUNCTION("IMPORTRANGE(""https://docs.google.com/spreadsheets/d/11923uPwbBZFjjGgGUA6NLw09EwE0CqkOc4q9oUmW1yo/edit?usp=sharing"",""เพชรบูรณ์!I138"")"),0)</f>
        <v>0</v>
      </c>
      <c r="J213" s="203">
        <f ca="1">IFERROR(__xludf.DUMMYFUNCTION("IMPORTRANGE(""https://docs.google.com/spreadsheets/d/11923uPwbBZFjjGgGUA6NLw09EwE0CqkOc4q9oUmW1yo/edit?usp=sharing"",""เพชรบูรณ์!J138"")"),0)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IFERROR(__xludf.DUMMYFUNCTION("IMPORTRANGE(""https://docs.google.com/spreadsheets/d/11923uPwbBZFjjGgGUA6NLw09EwE0CqkOc4q9oUmW1yo/edit?usp=sharing"",""เพชรบูรณ์!I140"")"),0)</f>
        <v>0</v>
      </c>
      <c r="J215" s="203">
        <f ca="1">IFERROR(__xludf.DUMMYFUNCTION("IMPORTRANGE(""https://docs.google.com/spreadsheets/d/11923uPwbBZFjjGgGUA6NLw09EwE0CqkOc4q9oUmW1yo/edit?usp=sharing"",""เพชรบูรณ์!J140"")"),0)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IFERROR(__xludf.DUMMYFUNCTION("IMPORTRANGE(""https://docs.google.com/spreadsheets/d/11923uPwbBZFjjGgGUA6NLw09EwE0CqkOc4q9oUmW1yo/edit?usp=sharing"",""เพชรบูรณ์!I141"")"),0)</f>
        <v>0</v>
      </c>
      <c r="J216" s="203">
        <f ca="1">IFERROR(__xludf.DUMMYFUNCTION("IMPORTRANGE(""https://docs.google.com/spreadsheets/d/11923uPwbBZFjjGgGUA6NLw09EwE0CqkOc4q9oUmW1yo/edit?usp=sharing"",""เพชรบูรณ์!J141"")"),0)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IFERROR(__xludf.DUMMYFUNCTION("IMPORTRANGE(""https://docs.google.com/spreadsheets/d/11923uPwbBZFjjGgGUA6NLw09EwE0CqkOc4q9oUmW1yo/edit?usp=sharing"",""เพชรบูรณ์!J142"")"),0)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IFERROR(__xludf.DUMMYFUNCTION("IMPORTRANGE(""https://docs.google.com/spreadsheets/d/11923uPwbBZFjjGgGUA6NLw09EwE0CqkOc4q9oUmW1yo/edit?usp=sharing"",""เพชรบูรณ์!J143"")"),0)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IFERROR(__xludf.DUMMYFUNCTION("IMPORTRANGE(""https://docs.google.com/spreadsheets/d/11923uPwbBZFjjGgGUA6NLw09EwE0CqkOc4q9oUmW1yo/edit?usp=sharing"",""เพชรบูรณ์!I144"")"),15)</f>
        <v>15</v>
      </c>
      <c r="J219" s="267">
        <f ca="1">IFERROR(__xludf.DUMMYFUNCTION("IMPORTRANGE(""https://docs.google.com/spreadsheets/d/11923uPwbBZFjjGgGUA6NLw09EwE0CqkOc4q9oUmW1yo/edit?usp=sharing"",""เพชรบูรณ์!J144"")"),15)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IFERROR(__xludf.DUMMYFUNCTION("IMPORTRANGE(""https://docs.google.com/spreadsheets/d/1Yj_ptqi66GCucihVvJfMjLAmec39IyEx_6qawtMGysU/edit?usp=sharing"",""สบก!BS29"")"),21125)</f>
        <v>21125</v>
      </c>
      <c r="N224" s="168">
        <f ca="1">IFERROR(__xludf.DUMMYFUNCTION("IMPORTRANGE(""https://docs.google.com/spreadsheets/d/1Yj_ptqi66GCucihVvJfMjLAmec39IyEx_6qawtMGysU/edit?usp=sharing"",""สบก!BT29"")"),21125)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IFERROR(__xludf.DUMMYFUNCTION("IMPORTRANGE(""https://docs.google.com/spreadsheets/d/1Yj_ptqi66GCucihVvJfMjLAmec39IyEx_6qawtMGysU/edit?usp=sharing"",""สบก!BO29"")"),0)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IFERROR(__xludf.DUMMYFUNCTION("IMPORTRANGE(""https://docs.google.com/spreadsheets/d/1Yj_ptqi66GCucihVvJfMjLAmec39IyEx_6qawtMGysU/edit?usp=sharing"",""สบก!BP29"")"),21125)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IFERROR(__xludf.DUMMYFUNCTION("IMPORTRANGE(""https://docs.google.com/spreadsheets/d/1Yj_ptqi66GCucihVvJfMjLAmec39IyEx_6qawtMGysU/edit?usp=sharing"",""สบก!BQ29"")"),0)</f>
        <v>0</v>
      </c>
      <c r="M228" s="50"/>
      <c r="N228" s="50">
        <f ca="1">IFERROR(__xludf.DUMMYFUNCTION("IMPORTRANGE(""https://docs.google.com/spreadsheets/d/1Yj_ptqi66GCucihVvJfMjLAmec39IyEx_6qawtMGysU/edit?usp=sharing"",""สบก!BU29"")"),0)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IFERROR(__xludf.DUMMYFUNCTION("IMPORTRANGE(""https://docs.google.com/spreadsheets/d/11923uPwbBZFjjGgGUA6NLw09EwE0CqkOc4q9oUmW1yo/edit?usp=sharing"",""เพชรบูรณ์!I149"")"),15)</f>
        <v>15</v>
      </c>
      <c r="J229" s="267">
        <f ca="1">IFERROR(__xludf.DUMMYFUNCTION("IMPORTRANGE(""https://docs.google.com/spreadsheets/d/11923uPwbBZFjjGgGUA6NLw09EwE0CqkOc4q9oUmW1yo/edit?usp=sharing"",""เพชรบูรณ์!J149"")"),15)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IFERROR(__xludf.DUMMYFUNCTION("IMPORTRANGE(""https://docs.google.com/spreadsheets/d/11923uPwbBZFjjGgGUA6NLw09EwE0CqkOc4q9oUmW1yo/edit?usp=sharing"",""เพชรบูรณ์!J151"")"),0)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IFERROR(__xludf.DUMMYFUNCTION("IMPORTRANGE(""https://docs.google.com/spreadsheets/d/11923uPwbBZFjjGgGUA6NLw09EwE0CqkOc4q9oUmW1yo/edit?usp=sharing"",""เพชรบูรณ์!J152"")"),0)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IFERROR(__xludf.DUMMYFUNCTION("IMPORTRANGE(""https://docs.google.com/spreadsheets/d/11923uPwbBZFjjGgGUA6NLw09EwE0CqkOc4q9oUmW1yo/edit?usp=sharing"",""เพชรบูรณ์!J153"")"),1)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IFERROR(__xludf.DUMMYFUNCTION("IMPORTRANGE(""https://docs.google.com/spreadsheets/d/11923uPwbBZFjjGgGUA6NLw09EwE0CqkOc4q9oUmW1yo/edit?usp=sharing"",""เพชรบูรณ์!J154"")"),1)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IFERROR(__xludf.DUMMYFUNCTION("IMPORTRANGE(""https://docs.google.com/spreadsheets/d/11923uPwbBZFjjGgGUA6NLw09EwE0CqkOc4q9oUmW1yo/edit?usp=sharing"",""เพชรบูรณ์!I155"")"),15)</f>
        <v>15</v>
      </c>
      <c r="J235" s="188">
        <f ca="1">IFERROR(__xludf.DUMMYFUNCTION("IMPORTRANGE(""https://docs.google.com/spreadsheets/d/11923uPwbBZFjjGgGUA6NLw09EwE0CqkOc4q9oUmW1yo/edit?usp=sharing"",""เพชรบูรณ์!J155"")"),15)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IFERROR(__xludf.DUMMYFUNCTION("IMPORTRANGE(""https://docs.google.com/spreadsheets/d/11923uPwbBZFjjGgGUA6NLw09EwE0CqkOc4q9oUmW1yo/edit?usp=sharing"",""เพชรบูรณ์!J156"")"),0)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IFERROR(__xludf.DUMMYFUNCTION("IMPORTRANGE(""https://docs.google.com/spreadsheets/d/11923uPwbBZFjjGgGUA6NLw09EwE0CqkOc4q9oUmW1yo/edit?usp=sharing"",""เพชรบูรณ์!J157"")"),1)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IFERROR(__xludf.DUMMYFUNCTION("IMPORTRANGE(""https://docs.google.com/spreadsheets/d/11923uPwbBZFjjGgGUA6NLw09EwE0CqkOc4q9oUmW1yo/edit?usp=sharing"",""เพชรบูรณ์!I158"")"),0)</f>
        <v>0</v>
      </c>
      <c r="J238" s="267">
        <f ca="1">IFERROR(__xludf.DUMMYFUNCTION("IMPORTRANGE(""https://docs.google.com/spreadsheets/d/11923uPwbBZFjjGgGUA6NLw09EwE0CqkOc4q9oUmW1yo/edit?usp=sharing"",""เพชรบูรณ์!J158"")"),0)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IFERROR(__xludf.DUMMYFUNCTION("IMPORTRANGE(""https://docs.google.com/spreadsheets/d/11923uPwbBZFjjGgGUA6NLw09EwE0CqkOc4q9oUmW1yo/edit?usp=sharing"",""เพชรบูรณ์!J159"")"),"")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IFERROR(__xludf.DUMMYFUNCTION("IMPORTRANGE(""https://docs.google.com/spreadsheets/d/11923uPwbBZFjjGgGUA6NLw09EwE0CqkOc4q9oUmW1yo/edit?usp=sharing"",""เพชรบูรณ์!J161"")"),0)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IFERROR(__xludf.DUMMYFUNCTION("IMPORTRANGE(""https://docs.google.com/spreadsheets/d/11923uPwbBZFjjGgGUA6NLw09EwE0CqkOc4q9oUmW1yo/edit?usp=sharing"",""เพชรบูรณ์!J162"")"),0)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IFERROR(__xludf.DUMMYFUNCTION("IMPORTRANGE(""https://docs.google.com/spreadsheets/d/11923uPwbBZFjjGgGUA6NLw09EwE0CqkOc4q9oUmW1yo/edit?usp=sharing"",""เพชรบูรณ์!J163"")"),0)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IFERROR(__xludf.DUMMYFUNCTION("IMPORTRANGE(""https://docs.google.com/spreadsheets/d/11923uPwbBZFjjGgGUA6NLw09EwE0CqkOc4q9oUmW1yo/edit?usp=sharing"",""เพชรบูรณ์!I164"")"),0)</f>
        <v>0</v>
      </c>
      <c r="J244" s="187">
        <f ca="1">IFERROR(__xludf.DUMMYFUNCTION("IMPORTRANGE(""https://docs.google.com/spreadsheets/d/11923uPwbBZFjjGgGUA6NLw09EwE0CqkOc4q9oUmW1yo/edit?usp=sharing"",""เพชรบูรณ์!J164"")"),0)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IFERROR(__xludf.DUMMYFUNCTION("IMPORTRANGE(""https://docs.google.com/spreadsheets/d/11923uPwbBZFjjGgGUA6NLw09EwE0CqkOc4q9oUmW1yo/edit?usp=sharing"",""เพชรบูรณ์!J165"")"),0)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IFERROR(__xludf.DUMMYFUNCTION("IMPORTRANGE(""https://docs.google.com/spreadsheets/d/11923uPwbBZFjjGgGUA6NLw09EwE0CqkOc4q9oUmW1yo/edit?usp=sharing"",""เพชรบูรณ์!J166"")"),0)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IFERROR(__xludf.DUMMYFUNCTION("IMPORTRANGE(""https://docs.google.com/spreadsheets/d/11923uPwbBZFjjGgGUA6NLw09EwE0CqkOc4q9oUmW1yo/edit?usp=sharing"",""เพชรบูรณ์!I169"")"),25)</f>
        <v>25</v>
      </c>
      <c r="J249" s="316">
        <f ca="1">IFERROR(__xludf.DUMMYFUNCTION("IMPORTRANGE(""https://docs.google.com/spreadsheets/d/11923uPwbBZFjjGgGUA6NLw09EwE0CqkOc4q9oUmW1yo/edit?usp=sharing"",""เพชรบูรณ์!J169"")"),25)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177000</v>
      </c>
      <c r="N250" s="152">
        <f t="shared" ca="1" si="77"/>
        <v>124624</v>
      </c>
      <c r="O250" s="151">
        <f t="shared" ref="O250:O252" ca="1" si="78">IF(L250&gt;0,N250*100/L250,0)</f>
        <v>62.625125628140701</v>
      </c>
      <c r="P250" s="151">
        <f t="shared" ref="P250:P252" ca="1" si="79">IF(M250&gt;0,N250*100/M250,0)</f>
        <v>70.409039548022605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199000</v>
      </c>
      <c r="M252" s="88">
        <f t="shared" ca="1" si="81"/>
        <v>177000</v>
      </c>
      <c r="N252" s="88">
        <f t="shared" ca="1" si="81"/>
        <v>124624</v>
      </c>
      <c r="O252" s="156">
        <f t="shared" ca="1" si="78"/>
        <v>62.625125628140701</v>
      </c>
      <c r="P252" s="156">
        <f t="shared" ca="1" si="79"/>
        <v>70.409039548022605</v>
      </c>
    </row>
    <row r="253" spans="1:16" ht="21.75" customHeight="1" x14ac:dyDescent="0.45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199000</v>
      </c>
      <c r="M254" s="167">
        <f ca="1">IFERROR(__xludf.DUMMYFUNCTION("IMPORTRANGE(""https://docs.google.com/spreadsheets/d/1Yj_ptqi66GCucihVvJfMjLAmec39IyEx_6qawtMGysU/edit?usp=sharing"",""สบก!CB29"")"),177000)</f>
        <v>177000</v>
      </c>
      <c r="N254" s="168">
        <f ca="1">IFERROR(__xludf.DUMMYFUNCTION("IMPORTRANGE(""https://docs.google.com/spreadsheets/d/1Yj_ptqi66GCucihVvJfMjLAmec39IyEx_6qawtMGysU/edit?usp=sharing"",""สบก!CC29"")"),124624)</f>
        <v>124624</v>
      </c>
      <c r="O254" s="168">
        <f ca="1">IF(L254&gt;0,N254*100/L254,0)</f>
        <v>62.625125628140701</v>
      </c>
      <c r="P254" s="168">
        <f ca="1">IF(M254&gt;0,N254*100/M254,0)</f>
        <v>70.409039548022605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IFERROR(__xludf.DUMMYFUNCTION("IMPORTRANGE(""https://docs.google.com/spreadsheets/d/1Yj_ptqi66GCucihVvJfMjLAmec39IyEx_6qawtMGysU/edit?usp=sharing"",""สบก!BX29"")"),0)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IFERROR(__xludf.DUMMYFUNCTION("IMPORTRANGE(""https://docs.google.com/spreadsheets/d/1Yj_ptqi66GCucihVvJfMjLAmec39IyEx_6qawtMGysU/edit?usp=sharing"",""สบก!BY29"")"),199000)</f>
        <v>199000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IFERROR(__xludf.DUMMYFUNCTION("IMPORTRANGE(""https://docs.google.com/spreadsheets/d/1Yj_ptqi66GCucihVvJfMjLAmec39IyEx_6qawtMGysU/edit?usp=sharing"",""สบก!BZ29"")"),0)</f>
        <v>0</v>
      </c>
      <c r="M258" s="50"/>
      <c r="N258" s="50">
        <f ca="1">IFERROR(__xludf.DUMMYFUNCTION("IMPORTRANGE(""https://docs.google.com/spreadsheets/d/1Yj_ptqi66GCucihVvJfMjLAmec39IyEx_6qawtMGysU/edit?usp=sharing"",""สบก!CD29"")"),0)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IFERROR(__xludf.DUMMYFUNCTION("IMPORTRANGE(""https://docs.google.com/spreadsheets/d/11923uPwbBZFjjGgGUA6NLw09EwE0CqkOc4q9oUmW1yo/edit?usp=sharing"",""เพชรบูรณ์!J175"")"),0)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IFERROR(__xludf.DUMMYFUNCTION("IMPORTRANGE(""https://docs.google.com/spreadsheets/d/11923uPwbBZFjjGgGUA6NLw09EwE0CqkOc4q9oUmW1yo/edit?usp=sharing"",""เพชรบูรณ์!J176"")"),1)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IFERROR(__xludf.DUMMYFUNCTION("IMPORTRANGE(""https://docs.google.com/spreadsheets/d/11923uPwbBZFjjGgGUA6NLw09EwE0CqkOc4q9oUmW1yo/edit?usp=sharing"",""เพชรบูรณ์!J177"")"),1)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IFERROR(__xludf.DUMMYFUNCTION("IMPORTRANGE(""https://docs.google.com/spreadsheets/d/11923uPwbBZFjjGgGUA6NLw09EwE0CqkOc4q9oUmW1yo/edit?usp=sharing"",""เพชรบูรณ์!J178"")"),1)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IFERROR(__xludf.DUMMYFUNCTION("IMPORTRANGE(""https://docs.google.com/spreadsheets/d/11923uPwbBZFjjGgGUA6NLw09EwE0CqkOc4q9oUmW1yo/edit?usp=sharing"",""เพชรบูรณ์!I179"")"),1)</f>
        <v>1</v>
      </c>
      <c r="J264" s="188">
        <f ca="1">IFERROR(__xludf.DUMMYFUNCTION("IMPORTRANGE(""https://docs.google.com/spreadsheets/d/11923uPwbBZFjjGgGUA6NLw09EwE0CqkOc4q9oUmW1yo/edit?usp=sharing"",""เพชรบูรณ์!J179"")"),1)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IFERROR(__xludf.DUMMYFUNCTION("IMPORTRANGE(""https://docs.google.com/spreadsheets/d/11923uPwbBZFjjGgGUA6NLw09EwE0CqkOc4q9oUmW1yo/edit?usp=sharing"",""เพชรบูรณ์!I180"")"),25)</f>
        <v>25</v>
      </c>
      <c r="J265" s="188">
        <f ca="1">IFERROR(__xludf.DUMMYFUNCTION("IMPORTRANGE(""https://docs.google.com/spreadsheets/d/11923uPwbBZFjjGgGUA6NLw09EwE0CqkOc4q9oUmW1yo/edit?usp=sharing"",""เพชรบูรณ์!J180"")"),25)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IFERROR(__xludf.DUMMYFUNCTION("IMPORTRANGE(""https://docs.google.com/spreadsheets/d/11923uPwbBZFjjGgGUA6NLw09EwE0CqkOc4q9oUmW1yo/edit?usp=sharing"",""เพชรบูรณ์!I181"")"),25)</f>
        <v>25</v>
      </c>
      <c r="J266" s="188">
        <f ca="1">IFERROR(__xludf.DUMMYFUNCTION("IMPORTRANGE(""https://docs.google.com/spreadsheets/d/11923uPwbBZFjjGgGUA6NLw09EwE0CqkOc4q9oUmW1yo/edit?usp=sharing"",""เพชรบูรณ์!J181"")"),25)</f>
        <v>25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IFERROR(__xludf.DUMMYFUNCTION("IMPORTRANGE(""https://docs.google.com/spreadsheets/d/11923uPwbBZFjjGgGUA6NLw09EwE0CqkOc4q9oUmW1yo/edit?usp=sharing"",""เพชรบูรณ์!I182"")"),1)</f>
        <v>1</v>
      </c>
      <c r="J267" s="188">
        <f ca="1">IFERROR(__xludf.DUMMYFUNCTION("IMPORTRANGE(""https://docs.google.com/spreadsheets/d/11923uPwbBZFjjGgGUA6NLw09EwE0CqkOc4q9oUmW1yo/edit?usp=sharing"",""เพชรบูรณ์!J182"")"),1)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IFERROR(__xludf.DUMMYFUNCTION("IMPORTRANGE(""https://docs.google.com/spreadsheets/d/11923uPwbBZFjjGgGUA6NLw09EwE0CqkOc4q9oUmW1yo/edit?usp=sharing"",""เพชรบูรณ์!J183"")"),0)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IFERROR(__xludf.DUMMYFUNCTION("IMPORTRANGE(""https://docs.google.com/spreadsheets/d/11923uPwbBZFjjGgGUA6NLw09EwE0CqkOc4q9oUmW1yo/edit?usp=sharing"",""เพชรบูรณ์!J184"")"),0)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IFERROR(__xludf.DUMMYFUNCTION("IMPORTRANGE(""https://docs.google.com/spreadsheets/d/11923uPwbBZFjjGgGUA6NLw09EwE0CqkOc4q9oUmW1yo/edit?usp=sharing"",""เพชรบูรณ์!I185"")"),20)</f>
        <v>20</v>
      </c>
      <c r="J270" s="316">
        <f ca="1">IFERROR(__xludf.DUMMYFUNCTION("IMPORTRANGE(""https://docs.google.com/spreadsheets/d/11923uPwbBZFjjGgGUA6NLw09EwE0CqkOc4q9oUmW1yo/edit?usp=sharing"",""เพชรบูรณ์!J185"")"),20)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73700</v>
      </c>
      <c r="M271" s="152">
        <f t="shared" ca="1" si="83"/>
        <v>33000</v>
      </c>
      <c r="N271" s="152">
        <f t="shared" ca="1" si="83"/>
        <v>33000</v>
      </c>
      <c r="O271" s="151">
        <f t="shared" ref="O271:O273" ca="1" si="84">IF(L271&gt;0,N271*100/L271,0)</f>
        <v>44.776119402985074</v>
      </c>
      <c r="P271" s="151">
        <f t="shared" ref="P271:P273" ca="1" si="85">IF(M271&gt;0,N271*100/M271,0)</f>
        <v>100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73700</v>
      </c>
      <c r="M273" s="88">
        <f t="shared" ca="1" si="87"/>
        <v>33000</v>
      </c>
      <c r="N273" s="88">
        <f t="shared" ca="1" si="87"/>
        <v>33000</v>
      </c>
      <c r="O273" s="156">
        <f t="shared" ca="1" si="84"/>
        <v>44.776119402985074</v>
      </c>
      <c r="P273" s="156">
        <f t="shared" ca="1" si="85"/>
        <v>100</v>
      </c>
    </row>
    <row r="274" spans="1:16" ht="21.75" customHeight="1" x14ac:dyDescent="0.45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73700</v>
      </c>
      <c r="M275" s="167">
        <f ca="1">IFERROR(__xludf.DUMMYFUNCTION("IMPORTRANGE(""https://docs.google.com/spreadsheets/d/1Yj_ptqi66GCucihVvJfMjLAmec39IyEx_6qawtMGysU/edit?usp=sharing"",""สบก!CK29"")"),33000)</f>
        <v>33000</v>
      </c>
      <c r="N275" s="168">
        <f ca="1">IFERROR(__xludf.DUMMYFUNCTION("IMPORTRANGE(""https://docs.google.com/spreadsheets/d/1Yj_ptqi66GCucihVvJfMjLAmec39IyEx_6qawtMGysU/edit?usp=sharing"",""สบก!CL29"")"),33000)</f>
        <v>33000</v>
      </c>
      <c r="O275" s="168">
        <f ca="1">IF(L275&gt;0,N275*100/L275,0)</f>
        <v>44.776119402985074</v>
      </c>
      <c r="P275" s="168">
        <f ca="1">IF(M275&gt;0,N275*100/M275,0)</f>
        <v>100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IFERROR(__xludf.DUMMYFUNCTION("IMPORTRANGE(""https://docs.google.com/spreadsheets/d/1Yj_ptqi66GCucihVvJfMjLAmec39IyEx_6qawtMGysU/edit?usp=sharing"",""สบก!CG29"")"),0)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IFERROR(__xludf.DUMMYFUNCTION("IMPORTRANGE(""https://docs.google.com/spreadsheets/d/1Yj_ptqi66GCucihVvJfMjLAmec39IyEx_6qawtMGysU/edit?usp=sharing"",""สบก!CH29"")"),73700)</f>
        <v>73700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IFERROR(__xludf.DUMMYFUNCTION("IMPORTRANGE(""https://docs.google.com/spreadsheets/d/1Yj_ptqi66GCucihVvJfMjLAmec39IyEx_6qawtMGysU/edit?usp=sharing"",""สบก!CI29"")"),0)</f>
        <v>0</v>
      </c>
      <c r="M279" s="50"/>
      <c r="N279" s="50">
        <f ca="1">IFERROR(__xludf.DUMMYFUNCTION("IMPORTRANGE(""https://docs.google.com/spreadsheets/d/1Yj_ptqi66GCucihVvJfMjLAmec39IyEx_6qawtMGysU/edit?usp=sharing"",""สบก!CM29"")"),0)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IFERROR(__xludf.DUMMYFUNCTION("IMPORTRANGE(""https://docs.google.com/spreadsheets/d/11923uPwbBZFjjGgGUA6NLw09EwE0CqkOc4q9oUmW1yo/edit?usp=sharing"",""เพชรบูรณ์!J191"")"),0)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IFERROR(__xludf.DUMMYFUNCTION("IMPORTRANGE(""https://docs.google.com/spreadsheets/d/11923uPwbBZFjjGgGUA6NLw09EwE0CqkOc4q9oUmW1yo/edit?usp=sharing"",""เพชรบูรณ์!J192"")"),1)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IFERROR(__xludf.DUMMYFUNCTION("IMPORTRANGE(""https://docs.google.com/spreadsheets/d/11923uPwbBZFjjGgGUA6NLw09EwE0CqkOc4q9oUmW1yo/edit?usp=sharing"",""เพชรบูรณ์!J193"")"),1)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IFERROR(__xludf.DUMMYFUNCTION("IMPORTRANGE(""https://docs.google.com/spreadsheets/d/11923uPwbBZFjjGgGUA6NLw09EwE0CqkOc4q9oUmW1yo/edit?usp=sharing"",""เพชรบูรณ์!J194"")"),1)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IFERROR(__xludf.DUMMYFUNCTION("IMPORTRANGE(""https://docs.google.com/spreadsheets/d/11923uPwbBZFjjGgGUA6NLw09EwE0CqkOc4q9oUmW1yo/edit?usp=sharing"",""เพชรบูรณ์!I195"")"),20)</f>
        <v>20</v>
      </c>
      <c r="J285" s="188">
        <f ca="1">IFERROR(__xludf.DUMMYFUNCTION("IMPORTRANGE(""https://docs.google.com/spreadsheets/d/11923uPwbBZFjjGgGUA6NLw09EwE0CqkOc4q9oUmW1yo/edit?usp=sharing"",""เพชรบูรณ์!J195"")"),20)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IFERROR(__xludf.DUMMYFUNCTION("IMPORTRANGE(""https://docs.google.com/spreadsheets/d/11923uPwbBZFjjGgGUA6NLw09EwE0CqkOc4q9oUmW1yo/edit?usp=sharing"",""เพชรบูรณ์!J196"")"),0)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IFERROR(__xludf.DUMMYFUNCTION("IMPORTRANGE(""https://docs.google.com/spreadsheets/d/11923uPwbBZFjjGgGUA6NLw09EwE0CqkOc4q9oUmW1yo/edit?usp=sharing"",""เพชรบูรณ์!J197"")"),0)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IFERROR(__xludf.DUMMYFUNCTION("IMPORTRANGE(""https://docs.google.com/spreadsheets/d/11923uPwbBZFjjGgGUA6NLw09EwE0CqkOc4q9oUmW1yo/edit?usp=sharing"",""เพชรบูรณ์!I199"")"),0)</f>
        <v>0</v>
      </c>
      <c r="J289" s="316">
        <f ca="1">IFERROR(__xludf.DUMMYFUNCTION("IMPORTRANGE(""https://docs.google.com/spreadsheets/d/11923uPwbBZFjjGgGUA6NLw09EwE0CqkOc4q9oUmW1yo/edit?usp=sharing"",""เพชรบูรณ์!J199"")"),0)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IFERROR(__xludf.DUMMYFUNCTION("IMPORTRANGE(""https://docs.google.com/spreadsheets/d/1Yj_ptqi66GCucihVvJfMjLAmec39IyEx_6qawtMGysU/edit?usp=sharing"",""สบก!CT29"")"),0)</f>
        <v>0</v>
      </c>
      <c r="N294" s="168">
        <f ca="1">IFERROR(__xludf.DUMMYFUNCTION("IMPORTRANGE(""https://docs.google.com/spreadsheets/d/1Yj_ptqi66GCucihVvJfMjLAmec39IyEx_6qawtMGysU/edit?usp=sharing"",""สบก!CU29"")"),0)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IFERROR(__xludf.DUMMYFUNCTION("IMPORTRANGE(""https://docs.google.com/spreadsheets/d/1Yj_ptqi66GCucihVvJfMjLAmec39IyEx_6qawtMGysU/edit?usp=sharing"",""สบก!CP29"")"),0)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IFERROR(__xludf.DUMMYFUNCTION("IMPORTRANGE(""https://docs.google.com/spreadsheets/d/1Yj_ptqi66GCucihVvJfMjLAmec39IyEx_6qawtMGysU/edit?usp=sharing"",""สบก!CQ29"")"),0)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IFERROR(__xludf.DUMMYFUNCTION("IMPORTRANGE(""https://docs.google.com/spreadsheets/d/1Yj_ptqi66GCucihVvJfMjLAmec39IyEx_6qawtMGysU/edit?usp=sharing"",""สบก!CR29"")"),0)</f>
        <v>0</v>
      </c>
      <c r="M298" s="50"/>
      <c r="N298" s="50">
        <f ca="1">IFERROR(__xludf.DUMMYFUNCTION("IMPORTRANGE(""https://docs.google.com/spreadsheets/d/1Yj_ptqi66GCucihVvJfMjLAmec39IyEx_6qawtMGysU/edit?usp=sharing"",""สบก!CV29"")"),0)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IFERROR(__xludf.DUMMYFUNCTION("IMPORTRANGE(""https://docs.google.com/spreadsheets/d/11923uPwbBZFjjGgGUA6NLw09EwE0CqkOc4q9oUmW1yo/edit?usp=sharing"",""เพชรบูรณ์!J205"")"),0)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IFERROR(__xludf.DUMMYFUNCTION("IMPORTRANGE(""https://docs.google.com/spreadsheets/d/11923uPwbBZFjjGgGUA6NLw09EwE0CqkOc4q9oUmW1yo/edit?usp=sharing"",""เพชรบูรณ์!J206"")"),0)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IFERROR(__xludf.DUMMYFUNCTION("IMPORTRANGE(""https://docs.google.com/spreadsheets/d/11923uPwbBZFjjGgGUA6NLw09EwE0CqkOc4q9oUmW1yo/edit?usp=sharing"",""เพชรบูรณ์!J207"")"),0)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IFERROR(__xludf.DUMMYFUNCTION("IMPORTRANGE(""https://docs.google.com/spreadsheets/d/11923uPwbBZFjjGgGUA6NLw09EwE0CqkOc4q9oUmW1yo/edit?usp=sharing"",""เพชรบูรณ์!J208"")"),0)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IFERROR(__xludf.DUMMYFUNCTION("IMPORTRANGE(""https://docs.google.com/spreadsheets/d/11923uPwbBZFjjGgGUA6NLw09EwE0CqkOc4q9oUmW1yo/edit?usp=sharing"",""เพชรบูรณ์!I209"")"),0)</f>
        <v>0</v>
      </c>
      <c r="J304" s="203">
        <f ca="1">IFERROR(__xludf.DUMMYFUNCTION("IMPORTRANGE(""https://docs.google.com/spreadsheets/d/11923uPwbBZFjjGgGUA6NLw09EwE0CqkOc4q9oUmW1yo/edit?usp=sharing"",""เพชรบูรณ์!J209"")"),0)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IFERROR(__xludf.DUMMYFUNCTION("IMPORTRANGE(""https://docs.google.com/spreadsheets/d/11923uPwbBZFjjGgGUA6NLw09EwE0CqkOc4q9oUmW1yo/edit?usp=sharing"",""เพชรบูรณ์!I211"")"),0)</f>
        <v>0</v>
      </c>
      <c r="J306" s="203">
        <f ca="1">IFERROR(__xludf.DUMMYFUNCTION("IMPORTRANGE(""https://docs.google.com/spreadsheets/d/11923uPwbBZFjjGgGUA6NLw09EwE0CqkOc4q9oUmW1yo/edit?usp=sharing"",""เพชรบูรณ์!J211"")"),0)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IFERROR(__xludf.DUMMYFUNCTION("IMPORTRANGE(""https://docs.google.com/spreadsheets/d/11923uPwbBZFjjGgGUA6NLw09EwE0CqkOc4q9oUmW1yo/edit?usp=sharing"",""เพชรบูรณ์!J212"")"),0)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IFERROR(__xludf.DUMMYFUNCTION("IMPORTRANGE(""https://docs.google.com/spreadsheets/d/11923uPwbBZFjjGgGUA6NLw09EwE0CqkOc4q9oUmW1yo/edit?usp=sharing"",""เพชรบูรณ์!J213"")"),0)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IFERROR(__xludf.DUMMYFUNCTION("IMPORTRANGE(""https://docs.google.com/spreadsheets/d/11923uPwbBZFjjGgGUA6NLw09EwE0CqkOc4q9oUmW1yo/edit?usp=sharing"",""เพชรบูรณ์!I214"")"),0)</f>
        <v>0</v>
      </c>
      <c r="J309" s="333">
        <f ca="1">IFERROR(__xludf.DUMMYFUNCTION("IMPORTRANGE(""https://docs.google.com/spreadsheets/d/11923uPwbBZFjjGgGUA6NLw09EwE0CqkOc4q9oUmW1yo/edit?usp=sharing"",""เพชรบูรณ์!J214"")"),0)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IFERROR(__xludf.DUMMYFUNCTION("IMPORTRANGE(""https://docs.google.com/spreadsheets/d/1Yj_ptqi66GCucihVvJfMjLAmec39IyEx_6qawtMGysU/edit?usp=sharing"",""สบก!DC29"")"),0)</f>
        <v>0</v>
      </c>
      <c r="N314" s="168">
        <f ca="1">IFERROR(__xludf.DUMMYFUNCTION("IMPORTRANGE(""https://docs.google.com/spreadsheets/d/1Yj_ptqi66GCucihVvJfMjLAmec39IyEx_6qawtMGysU/edit?usp=sharing"",""สบก!DD29"")"),0)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IFERROR(__xludf.DUMMYFUNCTION("IMPORTRANGE(""https://docs.google.com/spreadsheets/d/1Yj_ptqi66GCucihVvJfMjLAmec39IyEx_6qawtMGysU/edit?usp=sharing"",""สบก!CY29"")"),0)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IFERROR(__xludf.DUMMYFUNCTION("IMPORTRANGE(""https://docs.google.com/spreadsheets/d/1Yj_ptqi66GCucihVvJfMjLAmec39IyEx_6qawtMGysU/edit?usp=sharing"",""สบก!CZ29"")"),0)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IFERROR(__xludf.DUMMYFUNCTION("IMPORTRANGE(""https://docs.google.com/spreadsheets/d/1Yj_ptqi66GCucihVvJfMjLAmec39IyEx_6qawtMGysU/edit?usp=sharing"",""สบก!DA29"")"),0)</f>
        <v>0</v>
      </c>
      <c r="M318" s="50"/>
      <c r="N318" s="50">
        <f ca="1">IFERROR(__xludf.DUMMYFUNCTION("IMPORTRANGE(""https://docs.google.com/spreadsheets/d/1Yj_ptqi66GCucihVvJfMjLAmec39IyEx_6qawtMGysU/edit?usp=sharing"",""สบก!DE29"")"),0)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IFERROR(__xludf.DUMMYFUNCTION("IMPORTRANGE(""https://docs.google.com/spreadsheets/d/11923uPwbBZFjjGgGUA6NLw09EwE0CqkOc4q9oUmW1yo/edit?usp=sharing"",""เพชรบูรณ์!J220"")"),0)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IFERROR(__xludf.DUMMYFUNCTION("IMPORTRANGE(""https://docs.google.com/spreadsheets/d/11923uPwbBZFjjGgGUA6NLw09EwE0CqkOc4q9oUmW1yo/edit?usp=sharing"",""เพชรบูรณ์!J221"")"),0)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IFERROR(__xludf.DUMMYFUNCTION("IMPORTRANGE(""https://docs.google.com/spreadsheets/d/11923uPwbBZFjjGgGUA6NLw09EwE0CqkOc4q9oUmW1yo/edit?usp=sharing"",""เพชรบูรณ์!J222"")"),0)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IFERROR(__xludf.DUMMYFUNCTION("IMPORTRANGE(""https://docs.google.com/spreadsheets/d/11923uPwbBZFjjGgGUA6NLw09EwE0CqkOc4q9oUmW1yo/edit?usp=sharing"",""เพชรบูรณ์!J223"")"),0)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IFERROR(__xludf.DUMMYFUNCTION("IMPORTRANGE(""https://docs.google.com/spreadsheets/d/11923uPwbBZFjjGgGUA6NLw09EwE0CqkOc4q9oUmW1yo/edit?usp=sharing"",""เพชรบูรณ์!I224"")"),0)</f>
        <v>0</v>
      </c>
      <c r="J324" s="203">
        <f ca="1">IFERROR(__xludf.DUMMYFUNCTION("IMPORTRANGE(""https://docs.google.com/spreadsheets/d/11923uPwbBZFjjGgGUA6NLw09EwE0CqkOc4q9oUmW1yo/edit?usp=sharing"",""เพชรบูรณ์!J224"")"),0)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IFERROR(__xludf.DUMMYFUNCTION("IMPORTRANGE(""https://docs.google.com/spreadsheets/d/11923uPwbBZFjjGgGUA6NLw09EwE0CqkOc4q9oUmW1yo/edit?usp=sharing"",""เพชรบูรณ์!J225"")"),0)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IFERROR(__xludf.DUMMYFUNCTION("IMPORTRANGE(""https://docs.google.com/spreadsheets/d/11923uPwbBZFjjGgGUA6NLw09EwE0CqkOc4q9oUmW1yo/edit?usp=sharing"",""เพชรบูรณ์!J226"")"),0)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IFERROR(__xludf.DUMMYFUNCTION("IMPORTRANGE(""https://docs.google.com/spreadsheets/d/11923uPwbBZFjjGgGUA6NLw09EwE0CqkOc4q9oUmW1yo/edit?usp=sharing"",""เพชรบูรณ์!I228"")"),610)</f>
        <v>610</v>
      </c>
      <c r="J328" s="339">
        <f ca="1">IFERROR(__xludf.DUMMYFUNCTION("IMPORTRANGE(""https://docs.google.com/spreadsheets/d/11923uPwbBZFjjGgGUA6NLw09EwE0CqkOc4q9oUmW1yo/edit?usp=sharing"",""เพชรบูรณ์!J228"")"),180)</f>
        <v>180</v>
      </c>
      <c r="K328" s="317">
        <f ca="1">IF(I328&gt;0,J328*100/I328,0)</f>
        <v>29.508196721311474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1209740</v>
      </c>
      <c r="M329" s="152">
        <f t="shared" ca="1" si="98"/>
        <v>907580</v>
      </c>
      <c r="N329" s="152">
        <f t="shared" ca="1" si="98"/>
        <v>778715</v>
      </c>
      <c r="O329" s="151">
        <f t="shared" ref="O329:O331" ca="1" si="99">IF(L329&gt;0,N329*100/L329,0)</f>
        <v>64.370443235736602</v>
      </c>
      <c r="P329" s="151">
        <f t="shared" ref="P329:P331" ca="1" si="100">IF(M329&gt;0,N329*100/M329,0)</f>
        <v>85.801251680292651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1209740</v>
      </c>
      <c r="M331" s="88">
        <f t="shared" ca="1" si="102"/>
        <v>907580</v>
      </c>
      <c r="N331" s="88">
        <f t="shared" ca="1" si="102"/>
        <v>778715</v>
      </c>
      <c r="O331" s="156">
        <f t="shared" ca="1" si="99"/>
        <v>64.370443235736602</v>
      </c>
      <c r="P331" s="156">
        <f t="shared" ca="1" si="100"/>
        <v>85.801251680292651</v>
      </c>
    </row>
    <row r="332" spans="1:16" ht="21.75" customHeight="1" x14ac:dyDescent="0.45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1144940</v>
      </c>
      <c r="M333" s="167">
        <f ca="1">IFERROR(__xludf.DUMMYFUNCTION("IMPORTRANGE(""https://docs.google.com/spreadsheets/d/1Yj_ptqi66GCucihVvJfMjLAmec39IyEx_6qawtMGysU/edit?usp=sharing"",""สบก!DL29"")"),842780)</f>
        <v>842780</v>
      </c>
      <c r="N333" s="168">
        <f ca="1">IFERROR(__xludf.DUMMYFUNCTION("IMPORTRANGE(""https://docs.google.com/spreadsheets/d/1Yj_ptqi66GCucihVvJfMjLAmec39IyEx_6qawtMGysU/edit?usp=sharing"",""สบก!DM29"")"),713915)</f>
        <v>713915</v>
      </c>
      <c r="O333" s="168">
        <f ca="1">IF(L333&gt;0,N333*100/L333,0)</f>
        <v>62.353922476286968</v>
      </c>
      <c r="P333" s="168">
        <f ca="1">IF(M333&gt;0,N333*100/M333,0)</f>
        <v>84.709532736894559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IFERROR(__xludf.DUMMYFUNCTION("IMPORTRANGE(""https://docs.google.com/spreadsheets/d/1Yj_ptqi66GCucihVvJfMjLAmec39IyEx_6qawtMGysU/edit?usp=sharing"",""สบก!DH29"")"),306000)</f>
        <v>306000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IFERROR(__xludf.DUMMYFUNCTION("IMPORTRANGE(""https://docs.google.com/spreadsheets/d/1Yj_ptqi66GCucihVvJfMjLAmec39IyEx_6qawtMGysU/edit?usp=sharing"",""สบก!DI29"")"),838940)</f>
        <v>838940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IFERROR(__xludf.DUMMYFUNCTION("IMPORTRANGE(""https://docs.google.com/spreadsheets/d/1Yj_ptqi66GCucihVvJfMjLAmec39IyEx_6qawtMGysU/edit?usp=sharing"",""สบก!DJ29"")"),64800)</f>
        <v>64800</v>
      </c>
      <c r="M337" s="50">
        <f ca="1">L337</f>
        <v>64800</v>
      </c>
      <c r="N337" s="50">
        <f ca="1">IFERROR(__xludf.DUMMYFUNCTION("IMPORTRANGE(""https://docs.google.com/spreadsheets/d/1Yj_ptqi66GCucihVvJfMjLAmec39IyEx_6qawtMGysU/edit?usp=sharing"",""สบก!DN29"")"),64800)</f>
        <v>64800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IFERROR(__xludf.DUMMYFUNCTION("IMPORTRANGE(""https://docs.google.com/spreadsheets/d/11923uPwbBZFjjGgGUA6NLw09EwE0CqkOc4q9oUmW1yo/edit?usp=sharing"",""เพชรบูรณ์!I234"")"),0)</f>
        <v>0</v>
      </c>
      <c r="J339" s="187">
        <f ca="1">IFERROR(__xludf.DUMMYFUNCTION("IMPORTRANGE(""https://docs.google.com/spreadsheets/d/11923uPwbBZFjjGgGUA6NLw09EwE0CqkOc4q9oUmW1yo/edit?usp=sharing"",""เพชรบูรณ์!J234"")"),393)</f>
        <v>393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IFERROR(__xludf.DUMMYFUNCTION("IMPORTRANGE(""https://docs.google.com/spreadsheets/d/11923uPwbBZFjjGgGUA6NLw09EwE0CqkOc4q9oUmW1yo/edit?usp=sharing"",""เพชรบูรณ์!I235"")"),5920)</f>
        <v>5920</v>
      </c>
      <c r="J340" s="187">
        <f ca="1">IFERROR(__xludf.DUMMYFUNCTION("IMPORTRANGE(""https://docs.google.com/spreadsheets/d/11923uPwbBZFjjGgGUA6NLw09EwE0CqkOc4q9oUmW1yo/edit?usp=sharing"",""เพชรบูรณ์!J235"")"),4284.03)</f>
        <v>4284.03</v>
      </c>
      <c r="K340" s="342">
        <f t="shared" ca="1" si="103"/>
        <v>72.36537162162162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IFERROR(__xludf.DUMMYFUNCTION("IMPORTRANGE(""https://docs.google.com/spreadsheets/d/11923uPwbBZFjjGgGUA6NLw09EwE0CqkOc4q9oUmW1yo/edit?usp=sharing"",""เพชรบูรณ์!I236"")"),610)</f>
        <v>610</v>
      </c>
      <c r="J341" s="187">
        <f ca="1">IFERROR(__xludf.DUMMYFUNCTION("IMPORTRANGE(""https://docs.google.com/spreadsheets/d/11923uPwbBZFjjGgGUA6NLw09EwE0CqkOc4q9oUmW1yo/edit?usp=sharing"",""เพชรบูรณ์!J236"")"),555)</f>
        <v>555</v>
      </c>
      <c r="K341" s="342">
        <f t="shared" ca="1" si="103"/>
        <v>90.983606557377044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IFERROR(__xludf.DUMMYFUNCTION("IMPORTRANGE(""https://docs.google.com/spreadsheets/d/11923uPwbBZFjjGgGUA6NLw09EwE0CqkOc4q9oUmW1yo/edit?usp=sharing"",""เพชรบูรณ์!I237"")"),0)</f>
        <v>0</v>
      </c>
      <c r="J342" s="187">
        <f ca="1">IFERROR(__xludf.DUMMYFUNCTION("IMPORTRANGE(""https://docs.google.com/spreadsheets/d/11923uPwbBZFjjGgGUA6NLw09EwE0CqkOc4q9oUmW1yo/edit?usp=sharing"",""เพชรบูรณ์!J237"")"),7956.65)</f>
        <v>7956.65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IFERROR(__xludf.DUMMYFUNCTION("IMPORTRANGE(""https://docs.google.com/spreadsheets/d/11923uPwbBZFjjGgGUA6NLw09EwE0CqkOc4q9oUmW1yo/edit?usp=sharing"",""เพชรบูรณ์!I238"")"),610)</f>
        <v>610</v>
      </c>
      <c r="J343" s="187">
        <f ca="1">IFERROR(__xludf.DUMMYFUNCTION("IMPORTRANGE(""https://docs.google.com/spreadsheets/d/11923uPwbBZFjjGgGUA6NLw09EwE0CqkOc4q9oUmW1yo/edit?usp=sharing"",""เพชรบูรณ์!J238"")"),38)</f>
        <v>38</v>
      </c>
      <c r="K343" s="342">
        <f t="shared" ca="1" si="103"/>
        <v>6.2295081967213113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IFERROR(__xludf.DUMMYFUNCTION("IMPORTRANGE(""https://docs.google.com/spreadsheets/d/11923uPwbBZFjjGgGUA6NLw09EwE0CqkOc4q9oUmW1yo/edit?usp=sharing"",""เพชรบูรณ์!I239"")"),0)</f>
        <v>0</v>
      </c>
      <c r="J344" s="187">
        <f ca="1">IFERROR(__xludf.DUMMYFUNCTION("IMPORTRANGE(""https://docs.google.com/spreadsheets/d/11923uPwbBZFjjGgGUA6NLw09EwE0CqkOc4q9oUmW1yo/edit?usp=sharing"",""เพชรบูรณ์!J239"")"),402.8)</f>
        <v>402.8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IFERROR(__xludf.DUMMYFUNCTION("IMPORTRANGE(""https://docs.google.com/spreadsheets/d/11923uPwbBZFjjGgGUA6NLw09EwE0CqkOc4q9oUmW1yo/edit?usp=sharing"",""เพชรบูรณ์!I240"")"),610)</f>
        <v>610</v>
      </c>
      <c r="J345" s="187">
        <f ca="1">IFERROR(__xludf.DUMMYFUNCTION("IMPORTRANGE(""https://docs.google.com/spreadsheets/d/11923uPwbBZFjjGgGUA6NLw09EwE0CqkOc4q9oUmW1yo/edit?usp=sharing"",""เพชรบูรณ์!J240"")"),180)</f>
        <v>180</v>
      </c>
      <c r="K345" s="342">
        <f t="shared" ca="1" si="103"/>
        <v>29.508196721311474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IFERROR(__xludf.DUMMYFUNCTION("IMPORTRANGE(""https://docs.google.com/spreadsheets/d/11923uPwbBZFjjGgGUA6NLw09EwE0CqkOc4q9oUmW1yo/edit?usp=sharing"",""เพชรบูรณ์!I241"")"),0)</f>
        <v>0</v>
      </c>
      <c r="J346" s="187">
        <f ca="1">IFERROR(__xludf.DUMMYFUNCTION("IMPORTRANGE(""https://docs.google.com/spreadsheets/d/11923uPwbBZFjjGgGUA6NLw09EwE0CqkOc4q9oUmW1yo/edit?usp=sharing"",""เพชรบูรณ์!J241"")"),3176.08)</f>
        <v>3176.08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IFERROR(__xludf.DUMMYFUNCTION("IMPORTRANGE(""https://docs.google.com/spreadsheets/d/11923uPwbBZFjjGgGUA6NLw09EwE0CqkOc4q9oUmW1yo/edit?usp=sharing"",""เพชรบูรณ์!L242"")"),3075756)</f>
        <v>3075756</v>
      </c>
      <c r="M347" s="357"/>
      <c r="N347" s="357">
        <f ca="1">IFERROR(__xludf.DUMMYFUNCTION("IMPORTRANGE(""https://docs.google.com/spreadsheets/d/11923uPwbBZFjjGgGUA6NLw09EwE0CqkOc4q9oUmW1yo/edit?usp=sharing"",""เพชรบูรณ์!M242"")"),1709397.96)</f>
        <v>1709397.96</v>
      </c>
      <c r="O347" s="357">
        <f ca="1">+IF(L347&gt;0,N347*100/L347,0)</f>
        <v>55.576513871711541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IFERROR(__xludf.DUMMYFUNCTION("IMPORTRANGE(""https://docs.google.com/spreadsheets/d/11923uPwbBZFjjGgGUA6NLw09EwE0CqkOc4q9oUmW1yo/edit?usp=sharing"",""เพชรบูรณ์!I244"")"),425)</f>
        <v>425</v>
      </c>
      <c r="J349" s="370">
        <f ca="1">IFERROR(__xludf.DUMMYFUNCTION("IMPORTRANGE(""https://docs.google.com/spreadsheets/d/11923uPwbBZFjjGgGUA6NLw09EwE0CqkOc4q9oUmW1yo/edit?usp=sharing"",""เพชรบูรณ์!J244"")"),425)</f>
        <v>425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IFERROR(__xludf.DUMMYFUNCTION("IMPORTRANGE(""https://docs.google.com/spreadsheets/d/11923uPwbBZFjjGgGUA6NLw09EwE0CqkOc4q9oUmW1yo/edit?usp=sharing"",""เพชรบูรณ์!L244"")"),664130)</f>
        <v>664130</v>
      </c>
      <c r="M349" s="372"/>
      <c r="N349" s="372">
        <f ca="1">IFERROR(__xludf.DUMMYFUNCTION("IMPORTRANGE(""https://docs.google.com/spreadsheets/d/11923uPwbBZFjjGgGUA6NLw09EwE0CqkOc4q9oUmW1yo/edit?usp=sharing"",""เพชรบูรณ์!M244"")"),607020)</f>
        <v>607020</v>
      </c>
      <c r="O349" s="372">
        <f ca="1">+IF(L349&gt;0,N349*100/L349,0)</f>
        <v>91.400779967777396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IFERROR(__xludf.DUMMYFUNCTION("IMPORTRANGE(""https://docs.google.com/spreadsheets/d/11923uPwbBZFjjGgGUA6NLw09EwE0CqkOc4q9oUmW1yo/edit?usp=sharing"",""เพชรบูรณ์!I245"")"),95)</f>
        <v>95</v>
      </c>
      <c r="J350" s="370">
        <f ca="1">IFERROR(__xludf.DUMMYFUNCTION("IMPORTRANGE(""https://docs.google.com/spreadsheets/d/11923uPwbBZFjjGgGUA6NLw09EwE0CqkOc4q9oUmW1yo/edit?usp=sharing"",""เพชรบูรณ์!J245"")"),95)</f>
        <v>95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IFERROR(__xludf.DUMMYFUNCTION("IMPORTRANGE(""https://docs.google.com/spreadsheets/d/11923uPwbBZFjjGgGUA6NLw09EwE0CqkOc4q9oUmW1yo/edit?usp=sharing"",""เพชรบูรณ์!L246"")"),0)</f>
        <v>0</v>
      </c>
      <c r="M351" s="164"/>
      <c r="N351" s="164">
        <f ca="1">IFERROR(__xludf.DUMMYFUNCTION("IMPORTRANGE(""https://docs.google.com/spreadsheets/d/11923uPwbBZFjjGgGUA6NLw09EwE0CqkOc4q9oUmW1yo/edit?usp=sharing"",""เพชรบูรณ์!M246"")"),0)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IFERROR(__xludf.DUMMYFUNCTION("IMPORTRANGE(""https://docs.google.com/spreadsheets/d/11923uPwbBZFjjGgGUA6NLw09EwE0CqkOc4q9oUmW1yo/edit?usp=sharing"",""เพชรบูรณ์!L247"")"),664130)</f>
        <v>664130</v>
      </c>
      <c r="M352" s="165"/>
      <c r="N352" s="164">
        <f ca="1">IFERROR(__xludf.DUMMYFUNCTION("IMPORTRANGE(""https://docs.google.com/spreadsheets/d/11923uPwbBZFjjGgGUA6NLw09EwE0CqkOc4q9oUmW1yo/edit?usp=sharing"",""เพชรบูรณ์!M247"")"),607020)</f>
        <v>607020</v>
      </c>
      <c r="O352" s="165">
        <f t="shared" ca="1" si="105"/>
        <v>91.400779967777396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IFERROR(__xludf.DUMMYFUNCTION("IMPORTRANGE(""https://docs.google.com/spreadsheets/d/11923uPwbBZFjjGgGUA6NLw09EwE0CqkOc4q9oUmW1yo/edit?usp=sharing"",""เพชรบูรณ์!L248"")"),0)</f>
        <v>0</v>
      </c>
      <c r="M353" s="168"/>
      <c r="N353" s="168">
        <f ca="1">IFERROR(__xludf.DUMMYFUNCTION("IMPORTRANGE(""https://docs.google.com/spreadsheets/d/11923uPwbBZFjjGgGUA6NLw09EwE0CqkOc4q9oUmW1yo/edit?usp=sharing"",""เพชรบูรณ์!M248"")"),0)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IFERROR(__xludf.DUMMYFUNCTION("IMPORTRANGE(""https://docs.google.com/spreadsheets/d/11923uPwbBZFjjGgGUA6NLw09EwE0CqkOc4q9oUmW1yo/edit?usp=sharing"",""เพชรบูรณ์!L249"")"),664130)</f>
        <v>664130</v>
      </c>
      <c r="M354" s="168"/>
      <c r="N354" s="167">
        <f ca="1">IFERROR(__xludf.DUMMYFUNCTION("IMPORTRANGE(""https://docs.google.com/spreadsheets/d/11923uPwbBZFjjGgGUA6NLw09EwE0CqkOc4q9oUmW1yo/edit?usp=sharing"",""เพชรบูรณ์!M249"")"),607020)</f>
        <v>607020</v>
      </c>
      <c r="O354" s="168">
        <f t="shared" ca="1" si="105"/>
        <v>91.400779967777396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IFERROR(__xludf.DUMMYFUNCTION("IMPORTRANGE(""https://docs.google.com/spreadsheets/d/11923uPwbBZFjjGgGUA6NLw09EwE0CqkOc4q9oUmW1yo/edit?usp=sharing"",""เพชรบูรณ์!M250"")"),126390)</f>
        <v>126390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IFERROR(__xludf.DUMMYFUNCTION("IMPORTRANGE(""https://docs.google.com/spreadsheets/d/11923uPwbBZFjjGgGUA6NLw09EwE0CqkOc4q9oUmW1yo/edit?usp=sharing"",""เพชรบูรณ์!M251"")"),347500)</f>
        <v>347500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IFERROR(__xludf.DUMMYFUNCTION("IMPORTRANGE(""https://docs.google.com/spreadsheets/d/11923uPwbBZFjjGgGUA6NLw09EwE0CqkOc4q9oUmW1yo/edit?usp=sharing"",""เพชรบูรณ์!M252"")"),87248)</f>
        <v>87248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IFERROR(__xludf.DUMMYFUNCTION("IMPORTRANGE(""https://docs.google.com/spreadsheets/d/11923uPwbBZFjjGgGUA6NLw09EwE0CqkOc4q9oUmW1yo/edit?usp=sharing"",""เพชรบูรณ์!M253"")"),45882)</f>
        <v>45882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IFERROR(__xludf.DUMMYFUNCTION("IMPORTRANGE(""https://docs.google.com/spreadsheets/d/11923uPwbBZFjjGgGUA6NLw09EwE0CqkOc4q9oUmW1yo/edit?usp=sharing"",""เพชรบูรณ์!J255"")"),0)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IFERROR(__xludf.DUMMYFUNCTION("IMPORTRANGE(""https://docs.google.com/spreadsheets/d/11923uPwbBZFjjGgGUA6NLw09EwE0CqkOc4q9oUmW1yo/edit?usp=sharing"",""เพชรบูรณ์!J256"")"),1)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IFERROR(__xludf.DUMMYFUNCTION("IMPORTRANGE(""https://docs.google.com/spreadsheets/d/11923uPwbBZFjjGgGUA6NLw09EwE0CqkOc4q9oUmW1yo/edit?usp=sharing"",""เพชรบูรณ์!J257"")"),1)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IFERROR(__xludf.DUMMYFUNCTION("IMPORTRANGE(""https://docs.google.com/spreadsheets/d/11923uPwbBZFjjGgGUA6NLw09EwE0CqkOc4q9oUmW1yo/edit?usp=sharing"",""เพชรบูรณ์!J258"")"),1)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IFERROR(__xludf.DUMMYFUNCTION("IMPORTRANGE(""https://docs.google.com/spreadsheets/d/11923uPwbBZFjjGgGUA6NLw09EwE0CqkOc4q9oUmW1yo/edit?usp=sharing"",""เพชรบูรณ์!J166"")"),0)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IFERROR(__xludf.DUMMYFUNCTION("IMPORTRANGE(""https://docs.google.com/spreadsheets/d/11923uPwbBZFjjGgGUA6NLw09EwE0CqkOc4q9oUmW1yo/edit?usp=sharing"",""เพชรบูรณ์!J166"")"),0)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IFERROR(__xludf.DUMMYFUNCTION("IMPORTRANGE(""https://docs.google.com/spreadsheets/d/11923uPwbBZFjjGgGUA6NLw09EwE0CqkOc4q9oUmW1yo/edit?usp=sharing"",""เพชรบูรณ์!J166"")"),0)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IFERROR(__xludf.DUMMYFUNCTION("IMPORTRANGE(""https://docs.google.com/spreadsheets/d/11923uPwbBZFjjGgGUA6NLw09EwE0CqkOc4q9oUmW1yo/edit?usp=sharing"",""เพชรบูรณ์!J166"")"),0)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IFERROR(__xludf.DUMMYFUNCTION("IMPORTRANGE(""https://docs.google.com/spreadsheets/d/11923uPwbBZFjjGgGUA6NLw09EwE0CqkOc4q9oUmW1yo/edit?usp=sharing"",""เพชรบูรณ์!I263"")"),95)</f>
        <v>95</v>
      </c>
      <c r="J368" s="187">
        <f ca="1">IFERROR(__xludf.DUMMYFUNCTION("IMPORTRANGE(""https://docs.google.com/spreadsheets/d/11923uPwbBZFjjGgGUA6NLw09EwE0CqkOc4q9oUmW1yo/edit?usp=sharing"",""เพชรบูรณ์!J263"")"),95)</f>
        <v>95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IFERROR(__xludf.DUMMYFUNCTION("IMPORTRANGE(""https://docs.google.com/spreadsheets/d/11923uPwbBZFjjGgGUA6NLw09EwE0CqkOc4q9oUmW1yo/edit?usp=sharing"",""เพชรบูรณ์!I164"")"),0)</f>
        <v>0</v>
      </c>
      <c r="J369" s="203">
        <f ca="1">IFERROR(__xludf.DUMMYFUNCTION("IMPORTRANGE(""https://docs.google.com/spreadsheets/d/11923uPwbBZFjjGgGUA6NLw09EwE0CqkOc4q9oUmW1yo/edit?usp=sharing"",""เพชรบูรณ์!J164"")"),0)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IFERROR(__xludf.DUMMYFUNCTION("IMPORTRANGE(""https://docs.google.com/spreadsheets/d/11923uPwbBZFjjGgGUA6NLw09EwE0CqkOc4q9oUmW1yo/edit?usp=sharing"",""เพชรบูรณ์!I265"")"),95)</f>
        <v>95</v>
      </c>
      <c r="J370" s="203">
        <f ca="1">IFERROR(__xludf.DUMMYFUNCTION("IMPORTRANGE(""https://docs.google.com/spreadsheets/d/11923uPwbBZFjjGgGUA6NLw09EwE0CqkOc4q9oUmW1yo/edit?usp=sharing"",""เพชรบูรณ์!J265"")"),95)</f>
        <v>95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IFERROR(__xludf.DUMMYFUNCTION("IMPORTRANGE(""https://docs.google.com/spreadsheets/d/11923uPwbBZFjjGgGUA6NLw09EwE0CqkOc4q9oUmW1yo/edit?usp=sharing"",""เพชรบูรณ์!I164"")"),0)</f>
        <v>0</v>
      </c>
      <c r="J371" s="188">
        <f ca="1">IFERROR(__xludf.DUMMYFUNCTION("IMPORTRANGE(""https://docs.google.com/spreadsheets/d/11923uPwbBZFjjGgGUA6NLw09EwE0CqkOc4q9oUmW1yo/edit?usp=sharing"",""เพชรบูรณ์!J164"")"),0)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IFERROR(__xludf.DUMMYFUNCTION("IMPORTRANGE(""https://docs.google.com/spreadsheets/d/11923uPwbBZFjjGgGUA6NLw09EwE0CqkOc4q9oUmW1yo/edit?usp=sharing"",""เพชรบูรณ์!I267"")"),95)</f>
        <v>95</v>
      </c>
      <c r="J372" s="188">
        <f ca="1">IFERROR(__xludf.DUMMYFUNCTION("IMPORTRANGE(""https://docs.google.com/spreadsheets/d/11923uPwbBZFjjGgGUA6NLw09EwE0CqkOc4q9oUmW1yo/edit?usp=sharing"",""เพชรบูรณ์!J267"")"),95)</f>
        <v>95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IFERROR(__xludf.DUMMYFUNCTION("IMPORTRANGE(""https://docs.google.com/spreadsheets/d/11923uPwbBZFjjGgGUA6NLw09EwE0CqkOc4q9oUmW1yo/edit?usp=sharing"",""เพชรบูรณ์!I164"")"),0)</f>
        <v>0</v>
      </c>
      <c r="J373" s="203">
        <f ca="1">IFERROR(__xludf.DUMMYFUNCTION("IMPORTRANGE(""https://docs.google.com/spreadsheets/d/11923uPwbBZFjjGgGUA6NLw09EwE0CqkOc4q9oUmW1yo/edit?usp=sharing"",""เพชรบูรณ์!J164"")"),0)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IFERROR(__xludf.DUMMYFUNCTION("IMPORTRANGE(""https://docs.google.com/spreadsheets/d/11923uPwbBZFjjGgGUA6NLw09EwE0CqkOc4q9oUmW1yo/edit?usp=sharing"",""เพชรบูรณ์!I164"")"),0)</f>
        <v>0</v>
      </c>
      <c r="J374" s="187">
        <f ca="1">IFERROR(__xludf.DUMMYFUNCTION("IMPORTRANGE(""https://docs.google.com/spreadsheets/d/11923uPwbBZFjjGgGUA6NLw09EwE0CqkOc4q9oUmW1yo/edit?usp=sharing"",""เพชรบูรณ์!J164"")"),0)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IFERROR(__xludf.DUMMYFUNCTION("IMPORTRANGE(""https://docs.google.com/spreadsheets/d/11923uPwbBZFjjGgGUA6NLw09EwE0CqkOc4q9oUmW1yo/edit?usp=sharing"",""เพชรบูรณ์!I270"")"),425)</f>
        <v>425</v>
      </c>
      <c r="J375" s="187">
        <f ca="1">IFERROR(__xludf.DUMMYFUNCTION("IMPORTRANGE(""https://docs.google.com/spreadsheets/d/11923uPwbBZFjjGgGUA6NLw09EwE0CqkOc4q9oUmW1yo/edit?usp=sharing"",""เพชรบูรณ์!J270"")"),425)</f>
        <v>425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IFERROR(__xludf.DUMMYFUNCTION("IMPORTRANGE(""https://docs.google.com/spreadsheets/d/11923uPwbBZFjjGgGUA6NLw09EwE0CqkOc4q9oUmW1yo/edit?usp=sharing"",""เพชรบูรณ์!I271"")"),150)</f>
        <v>150</v>
      </c>
      <c r="J376" s="188">
        <f ca="1">IFERROR(__xludf.DUMMYFUNCTION("IMPORTRANGE(""https://docs.google.com/spreadsheets/d/11923uPwbBZFjjGgGUA6NLw09EwE0CqkOc4q9oUmW1yo/edit?usp=sharing"",""เพชรบูรณ์!J271"")"),150)</f>
        <v>150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IFERROR(__xludf.DUMMYFUNCTION("IMPORTRANGE(""https://docs.google.com/spreadsheets/d/11923uPwbBZFjjGgGUA6NLw09EwE0CqkOc4q9oUmW1yo/edit?usp=sharing"",""เพชรบูรณ์!I272"")"),275)</f>
        <v>275</v>
      </c>
      <c r="J377" s="203">
        <f ca="1">IFERROR(__xludf.DUMMYFUNCTION("IMPORTRANGE(""https://docs.google.com/spreadsheets/d/11923uPwbBZFjjGgGUA6NLw09EwE0CqkOc4q9oUmW1yo/edit?usp=sharing"",""เพชรบูรณ์!J272"")"),275)</f>
        <v>275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IFERROR(__xludf.DUMMYFUNCTION("IMPORTRANGE(""https://docs.google.com/spreadsheets/d/11923uPwbBZFjjGgGUA6NLw09EwE0CqkOc4q9oUmW1yo/edit?usp=sharing"",""เพชรบูรณ์!J273"")"),0)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IFERROR(__xludf.DUMMYFUNCTION("IMPORTRANGE(""https://docs.google.com/spreadsheets/d/11923uPwbBZFjjGgGUA6NLw09EwE0CqkOc4q9oUmW1yo/edit?usp=sharing"",""เพชรบูรณ์!J274"")"),0)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IFERROR(__xludf.DUMMYFUNCTION("IMPORTRANGE(""https://docs.google.com/spreadsheets/d/11923uPwbBZFjjGgGUA6NLw09EwE0CqkOc4q9oUmW1yo/edit?usp=sharing"",""เพชรบูรณ์!I275"")"),1000)</f>
        <v>1000</v>
      </c>
      <c r="J380" s="370">
        <f ca="1">IFERROR(__xludf.DUMMYFUNCTION("IMPORTRANGE(""https://docs.google.com/spreadsheets/d/11923uPwbBZFjjGgGUA6NLw09EwE0CqkOc4q9oUmW1yo/edit?usp=sharing"",""เพชรบูรณ์!J275"")"),0)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IFERROR(__xludf.DUMMYFUNCTION("IMPORTRANGE(""https://docs.google.com/spreadsheets/d/11923uPwbBZFjjGgGUA6NLw09EwE0CqkOc4q9oUmW1yo/edit?usp=sharing"",""เพชรบูรณ์!L275"")"),1028520)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IFERROR(__xludf.DUMMYFUNCTION("IMPORTRANGE(""https://docs.google.com/spreadsheets/d/11923uPwbBZFjjGgGUA6NLw09EwE0CqkOc4q9oUmW1yo/edit?usp=sharing"",""เพชรบูรณ์!M275"")"),295546)</f>
        <v>295546</v>
      </c>
      <c r="O380" s="372">
        <f ca="1">+IF(L380&gt;0,N380*100/L380,0)</f>
        <v>28.735075642671024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IFERROR(__xludf.DUMMYFUNCTION("IMPORTRANGE(""https://docs.google.com/spreadsheets/d/11923uPwbBZFjjGgGUA6NLw09EwE0CqkOc4q9oUmW1yo/edit?usp=sharing"",""เพชรบูรณ์!I276"")"),100)</f>
        <v>100</v>
      </c>
      <c r="J381" s="370">
        <f ca="1">IFERROR(__xludf.DUMMYFUNCTION("IMPORTRANGE(""https://docs.google.com/spreadsheets/d/11923uPwbBZFjjGgGUA6NLw09EwE0CqkOc4q9oUmW1yo/edit?usp=sharing"",""เพชรบูรณ์!J276"")"),100)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IFERROR(__xludf.DUMMYFUNCTION("IMPORTRANGE(""https://docs.google.com/spreadsheets/d/11923uPwbBZFjjGgGUA6NLw09EwE0CqkOc4q9oUmW1yo/edit?usp=sharing"",""เพชรบูรณ์!L277"")"),0)</f>
        <v>0</v>
      </c>
      <c r="M382" s="164"/>
      <c r="N382" s="164">
        <f ca="1">IFERROR(__xludf.DUMMYFUNCTION("IMPORTRANGE(""https://docs.google.com/spreadsheets/d/11923uPwbBZFjjGgGUA6NLw09EwE0CqkOc4q9oUmW1yo/edit?usp=sharing"",""เพชรบูรณ์!M277"")"),0)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IFERROR(__xludf.DUMMYFUNCTION("IMPORTRANGE(""https://docs.google.com/spreadsheets/d/11923uPwbBZFjjGgGUA6NLw09EwE0CqkOc4q9oUmW1yo/edit?usp=sharing"",""เพชรบูรณ์!L278"")"),1028520)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IFERROR(__xludf.DUMMYFUNCTION("IMPORTRANGE(""https://docs.google.com/spreadsheets/d/11923uPwbBZFjjGgGUA6NLw09EwE0CqkOc4q9oUmW1yo/edit?usp=sharing"",""เพชรบูรณ์!M278"")"),295546)</f>
        <v>295546</v>
      </c>
      <c r="O383" s="165">
        <f t="shared" ca="1" si="109"/>
        <v>28.735075642671024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IFERROR(__xludf.DUMMYFUNCTION("IMPORTRANGE(""https://docs.google.com/spreadsheets/d/11923uPwbBZFjjGgGUA6NLw09EwE0CqkOc4q9oUmW1yo/edit?usp=sharing"",""เพชรบูรณ์!L279"")"),0)</f>
        <v>0</v>
      </c>
      <c r="M384" s="168"/>
      <c r="N384" s="168">
        <f ca="1">IFERROR(__xludf.DUMMYFUNCTION("IMPORTRANGE(""https://docs.google.com/spreadsheets/d/11923uPwbBZFjjGgGUA6NLw09EwE0CqkOc4q9oUmW1yo/edit?usp=sharing"",""เพชรบูรณ์!M279"")"),0)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IFERROR(__xludf.DUMMYFUNCTION("IMPORTRANGE(""https://docs.google.com/spreadsheets/d/11923uPwbBZFjjGgGUA6NLw09EwE0CqkOc4q9oUmW1yo/edit?usp=sharing"",""เพชรบูรณ์!L280"")"),1028520)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IFERROR(__xludf.DUMMYFUNCTION("IMPORTRANGE(""https://docs.google.com/spreadsheets/d/11923uPwbBZFjjGgGUA6NLw09EwE0CqkOc4q9oUmW1yo/edit?usp=sharing"",""เพชรบูรณ์!M280"")"),295546)</f>
        <v>295546</v>
      </c>
      <c r="O385" s="168">
        <f t="shared" ca="1" si="109"/>
        <v>28.735075642671024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IFERROR(__xludf.DUMMYFUNCTION("IMPORTRANGE(""https://docs.google.com/spreadsheets/d/11923uPwbBZFjjGgGUA6NLw09EwE0CqkOc4q9oUmW1yo/edit?usp=sharing"",""เพชรบูรณ์!M281"")"),174738)</f>
        <v>174738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IFERROR(__xludf.DUMMYFUNCTION("IMPORTRANGE(""https://docs.google.com/spreadsheets/d/11923uPwbBZFjjGgGUA6NLw09EwE0CqkOc4q9oUmW1yo/edit?usp=sharing"",""เพชรบูรณ์!M282"")"),0)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IFERROR(__xludf.DUMMYFUNCTION("IMPORTRANGE(""https://docs.google.com/spreadsheets/d/11923uPwbBZFjjGgGUA6NLw09EwE0CqkOc4q9oUmW1yo/edit?usp=sharing"",""เพชรบูรณ์!M283"")"),76248)</f>
        <v>76248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IFERROR(__xludf.DUMMYFUNCTION("IMPORTRANGE(""https://docs.google.com/spreadsheets/d/11923uPwbBZFjjGgGUA6NLw09EwE0CqkOc4q9oUmW1yo/edit?usp=sharing"",""เพชรบูรณ์!M284"")"),44560)</f>
        <v>44560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IFERROR(__xludf.DUMMYFUNCTION("IMPORTRANGE(""https://docs.google.com/spreadsheets/d/11923uPwbBZFjjGgGUA6NLw09EwE0CqkOc4q9oUmW1yo/edit?usp=sharing"",""เพชรบูรณ์!J286"")"),0)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IFERROR(__xludf.DUMMYFUNCTION("IMPORTRANGE(""https://docs.google.com/spreadsheets/d/11923uPwbBZFjjGgGUA6NLw09EwE0CqkOc4q9oUmW1yo/edit?usp=sharing"",""เพชรบูรณ์!J287"")"),1)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IFERROR(__xludf.DUMMYFUNCTION("IMPORTRANGE(""https://docs.google.com/spreadsheets/d/11923uPwbBZFjjGgGUA6NLw09EwE0CqkOc4q9oUmW1yo/edit?usp=sharing"",""เพชรบูรณ์!J288"")"),1)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IFERROR(__xludf.DUMMYFUNCTION("IMPORTRANGE(""https://docs.google.com/spreadsheets/d/11923uPwbBZFjjGgGUA6NLw09EwE0CqkOc4q9oUmW1yo/edit?usp=sharing"",""เพชรบูรณ์!J289"")"),1)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IFERROR(__xludf.DUMMYFUNCTION("IMPORTRANGE(""https://docs.google.com/spreadsheets/d/11923uPwbBZFjjGgGUA6NLw09EwE0CqkOc4q9oUmW1yo/edit?usp=sharing"",""เพชรบูรณ์!I291"")"),100)</f>
        <v>100</v>
      </c>
      <c r="J396" s="197">
        <f ca="1">IFERROR(__xludf.DUMMYFUNCTION("IMPORTRANGE(""https://docs.google.com/spreadsheets/d/11923uPwbBZFjjGgGUA6NLw09EwE0CqkOc4q9oUmW1yo/edit?usp=sharing"",""เพชรบูรณ์!J291"")"),100)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IFERROR(__xludf.DUMMYFUNCTION("IMPORTRANGE(""https://docs.google.com/spreadsheets/d/11923uPwbBZFjjGgGUA6NLw09EwE0CqkOc4q9oUmW1yo/edit?usp=sharing"",""เพชรบูรณ์!I292"")"),1000)</f>
        <v>1000</v>
      </c>
      <c r="J397" s="197">
        <f ca="1">IFERROR(__xludf.DUMMYFUNCTION("IMPORTRANGE(""https://docs.google.com/spreadsheets/d/11923uPwbBZFjjGgGUA6NLw09EwE0CqkOc4q9oUmW1yo/edit?usp=sharing"",""เพชรบูรณ์!J292"")"),0)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IFERROR(__xludf.DUMMYFUNCTION("IMPORTRANGE(""https://docs.google.com/spreadsheets/d/11923uPwbBZFjjGgGUA6NLw09EwE0CqkOc4q9oUmW1yo/edit?usp=sharing"",""เพชรบูรณ์!I293"")"),100)</f>
        <v>100</v>
      </c>
      <c r="J398" s="197">
        <f ca="1">IFERROR(__xludf.DUMMYFUNCTION("IMPORTRANGE(""https://docs.google.com/spreadsheets/d/11923uPwbBZFjjGgGUA6NLw09EwE0CqkOc4q9oUmW1yo/edit?usp=sharing"",""เพชรบูรณ์!J293"")"),0)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IFERROR(__xludf.DUMMYFUNCTION("IMPORTRANGE(""https://docs.google.com/spreadsheets/d/11923uPwbBZFjjGgGUA6NLw09EwE0CqkOc4q9oUmW1yo/edit?usp=sharing"",""เพชรบูรณ์!J294"")"),0)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IFERROR(__xludf.DUMMYFUNCTION("IMPORTRANGE(""https://docs.google.com/spreadsheets/d/11923uPwbBZFjjGgGUA6NLw09EwE0CqkOc4q9oUmW1yo/edit?usp=sharing"",""เพชรบูรณ์!J295"")"),0)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IFERROR(__xludf.DUMMYFUNCTION("IMPORTRANGE(""https://docs.google.com/spreadsheets/d/11923uPwbBZFjjGgGUA6NLw09EwE0CqkOc4q9oUmW1yo/edit?usp=sharing"",""เพชรบูรณ์!I296"")"),219)</f>
        <v>219</v>
      </c>
      <c r="J401" s="370">
        <f ca="1">IFERROR(__xludf.DUMMYFUNCTION("IMPORTRANGE(""https://docs.google.com/spreadsheets/d/11923uPwbBZFjjGgGUA6NLw09EwE0CqkOc4q9oUmW1yo/edit?usp=sharing"",""เพชรบูรณ์!J296"")"),219)</f>
        <v>219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IFERROR(__xludf.DUMMYFUNCTION("IMPORTRANGE(""https://docs.google.com/spreadsheets/d/11923uPwbBZFjjGgGUA6NLw09EwE0CqkOc4q9oUmW1yo/edit?usp=sharing"",""เพชรบูรณ์!L296"")"),244540)</f>
        <v>244540</v>
      </c>
      <c r="M401" s="372"/>
      <c r="N401" s="372">
        <f ca="1">IFERROR(__xludf.DUMMYFUNCTION("IMPORTRANGE(""https://docs.google.com/spreadsheets/d/11923uPwbBZFjjGgGUA6NLw09EwE0CqkOc4q9oUmW1yo/edit?usp=sharing"",""เพชรบูรณ์!M296"")"),222160)</f>
        <v>222160</v>
      </c>
      <c r="O401" s="372">
        <f ca="1">+IF(L401&gt;0,N401*100/L401,0)</f>
        <v>90.848123006461108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IFERROR(__xludf.DUMMYFUNCTION("IMPORTRANGE(""https://docs.google.com/spreadsheets/d/11923uPwbBZFjjGgGUA6NLw09EwE0CqkOc4q9oUmW1yo/edit?usp=sharing"",""เพชรบูรณ์!I297"")"),73)</f>
        <v>73</v>
      </c>
      <c r="J402" s="370">
        <f ca="1">IFERROR(__xludf.DUMMYFUNCTION("IMPORTRANGE(""https://docs.google.com/spreadsheets/d/11923uPwbBZFjjGgGUA6NLw09EwE0CqkOc4q9oUmW1yo/edit?usp=sharing"",""เพชรบูรณ์!J297"")"),73)</f>
        <v>73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IFERROR(__xludf.DUMMYFUNCTION("IMPORTRANGE(""https://docs.google.com/spreadsheets/d/11923uPwbBZFjjGgGUA6NLw09EwE0CqkOc4q9oUmW1yo/edit?usp=sharing"",""เพชรบูรณ์!L298"")"),0)</f>
        <v>0</v>
      </c>
      <c r="M403" s="164"/>
      <c r="N403" s="168">
        <f ca="1">IFERROR(__xludf.DUMMYFUNCTION("IMPORTRANGE(""https://docs.google.com/spreadsheets/d/11923uPwbBZFjjGgGUA6NLw09EwE0CqkOc4q9oUmW1yo/edit?usp=sharing"",""เพชรบูรณ์!M298"")"),0)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IFERROR(__xludf.DUMMYFUNCTION("IMPORTRANGE(""https://docs.google.com/spreadsheets/d/11923uPwbBZFjjGgGUA6NLw09EwE0CqkOc4q9oUmW1yo/edit?usp=sharing"",""เพชรบูรณ์!L299"")"),244540)</f>
        <v>244540</v>
      </c>
      <c r="M404" s="165"/>
      <c r="N404" s="168">
        <f ca="1">IFERROR(__xludf.DUMMYFUNCTION("IMPORTRANGE(""https://docs.google.com/spreadsheets/d/11923uPwbBZFjjGgGUA6NLw09EwE0CqkOc4q9oUmW1yo/edit?usp=sharing"",""เพชรบูรณ์!M299"")"),222160)</f>
        <v>222160</v>
      </c>
      <c r="O404" s="168">
        <f t="shared" ca="1" si="112"/>
        <v>90.848123006461108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IFERROR(__xludf.DUMMYFUNCTION("IMPORTRANGE(""https://docs.google.com/spreadsheets/d/11923uPwbBZFjjGgGUA6NLw09EwE0CqkOc4q9oUmW1yo/edit?usp=sharing"",""เพชรบูรณ์!L300"")"),0)</f>
        <v>0</v>
      </c>
      <c r="M405" s="168"/>
      <c r="N405" s="168">
        <f ca="1">IFERROR(__xludf.DUMMYFUNCTION("IMPORTRANGE(""https://docs.google.com/spreadsheets/d/11923uPwbBZFjjGgGUA6NLw09EwE0CqkOc4q9oUmW1yo/edit?usp=sharing"",""เพชรบูรณ์!M300"")"),0)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IFERROR(__xludf.DUMMYFUNCTION("IMPORTRANGE(""https://docs.google.com/spreadsheets/d/11923uPwbBZFjjGgGUA6NLw09EwE0CqkOc4q9oUmW1yo/edit?usp=sharing"",""เพชรบูรณ์!L301"")"),244540)</f>
        <v>244540</v>
      </c>
      <c r="M406" s="168"/>
      <c r="N406" s="168">
        <f ca="1">IFERROR(__xludf.DUMMYFUNCTION("IMPORTRANGE(""https://docs.google.com/spreadsheets/d/11923uPwbBZFjjGgGUA6NLw09EwE0CqkOc4q9oUmW1yo/edit?usp=sharing"",""เพชรบูรณ์!M301"")"),222160)</f>
        <v>222160</v>
      </c>
      <c r="O406" s="168">
        <f t="shared" ca="1" si="112"/>
        <v>90.848123006461108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IFERROR(__xludf.DUMMYFUNCTION("IMPORTRANGE(""https://docs.google.com/spreadsheets/d/11923uPwbBZFjjGgGUA6NLw09EwE0CqkOc4q9oUmW1yo/edit?usp=sharing"",""เพชรบูรณ์!M302"")"),142400)</f>
        <v>142400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IFERROR(__xludf.DUMMYFUNCTION("IMPORTRANGE(""https://docs.google.com/spreadsheets/d/11923uPwbBZFjjGgGUA6NLw09EwE0CqkOc4q9oUmW1yo/edit?usp=sharing"",""เพชรบูรณ์!M303"")"),64100)</f>
        <v>64100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IFERROR(__xludf.DUMMYFUNCTION("IMPORTRANGE(""https://docs.google.com/spreadsheets/d/11923uPwbBZFjjGgGUA6NLw09EwE0CqkOc4q9oUmW1yo/edit?usp=sharing"",""เพชรบูรณ์!M304"")"),0)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IFERROR(__xludf.DUMMYFUNCTION("IMPORTRANGE(""https://docs.google.com/spreadsheets/d/11923uPwbBZFjjGgGUA6NLw09EwE0CqkOc4q9oUmW1yo/edit?usp=sharing"",""เพชรบูรณ์!M305"")"),15660)</f>
        <v>15660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IFERROR(__xludf.DUMMYFUNCTION("IMPORTRANGE(""https://docs.google.com/spreadsheets/d/11923uPwbBZFjjGgGUA6NLw09EwE0CqkOc4q9oUmW1yo/edit?usp=sharing"",""เพชรบูรณ์!J307"")"),0)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IFERROR(__xludf.DUMMYFUNCTION("IMPORTRANGE(""https://docs.google.com/spreadsheets/d/11923uPwbBZFjjGgGUA6NLw09EwE0CqkOc4q9oUmW1yo/edit?usp=sharing"",""เพชรบูรณ์!J308"")"),1)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IFERROR(__xludf.DUMMYFUNCTION("IMPORTRANGE(""https://docs.google.com/spreadsheets/d/11923uPwbBZFjjGgGUA6NLw09EwE0CqkOc4q9oUmW1yo/edit?usp=sharing"",""เพชรบูรณ์!J309"")"),1)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IFERROR(__xludf.DUMMYFUNCTION("IMPORTRANGE(""https://docs.google.com/spreadsheets/d/11923uPwbBZFjjGgGUA6NLw09EwE0CqkOc4q9oUmW1yo/edit?usp=sharing"",""เพชรบูรณ์!J310"")"),1)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IFERROR(__xludf.DUMMYFUNCTION("IMPORTRANGE(""https://docs.google.com/spreadsheets/d/11923uPwbBZFjjGgGUA6NLw09EwE0CqkOc4q9oUmW1yo/edit?usp=sharing"",""เพชรบูรณ์!I311"")"),73)</f>
        <v>73</v>
      </c>
      <c r="J416" s="200">
        <f ca="1">IFERROR(__xludf.DUMMYFUNCTION("IMPORTRANGE(""https://docs.google.com/spreadsheets/d/11923uPwbBZFjjGgGUA6NLw09EwE0CqkOc4q9oUmW1yo/edit?usp=sharing"",""เพชรบูรณ์!J311"")"),73)</f>
        <v>73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IFERROR(__xludf.DUMMYFUNCTION("IMPORTRANGE(""https://docs.google.com/spreadsheets/d/11923uPwbBZFjjGgGUA6NLw09EwE0CqkOc4q9oUmW1yo/edit?usp=sharing"",""เพชรบูรณ์!I312"")"),25)</f>
        <v>25</v>
      </c>
      <c r="J417" s="391">
        <f ca="1">IFERROR(__xludf.DUMMYFUNCTION("IMPORTRANGE(""https://docs.google.com/spreadsheets/d/11923uPwbBZFjjGgGUA6NLw09EwE0CqkOc4q9oUmW1yo/edit?usp=sharing"",""เพชรบูรณ์!J312"")"),25)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IFERROR(__xludf.DUMMYFUNCTION("IMPORTRANGE(""https://docs.google.com/spreadsheets/d/11923uPwbBZFjjGgGUA6NLw09EwE0CqkOc4q9oUmW1yo/edit?usp=sharing"",""เพชรบูรณ์!I313"")"),75)</f>
        <v>75</v>
      </c>
      <c r="J418" s="392">
        <f ca="1">IFERROR(__xludf.DUMMYFUNCTION("IMPORTRANGE(""https://docs.google.com/spreadsheets/d/11923uPwbBZFjjGgGUA6NLw09EwE0CqkOc4q9oUmW1yo/edit?usp=sharing"",""เพชรบูรณ์!J313"")"),75)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IFERROR(__xludf.DUMMYFUNCTION("IMPORTRANGE(""https://docs.google.com/spreadsheets/d/11923uPwbBZFjjGgGUA6NLw09EwE0CqkOc4q9oUmW1yo/edit?usp=sharing"",""เพชรบูรณ์!I314"")"),25)</f>
        <v>25</v>
      </c>
      <c r="J419" s="393">
        <f ca="1">IFERROR(__xludf.DUMMYFUNCTION("IMPORTRANGE(""https://docs.google.com/spreadsheets/d/11923uPwbBZFjjGgGUA6NLw09EwE0CqkOc4q9oUmW1yo/edit?usp=sharing"",""เพชรบูรณ์!J314"")"),25)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IFERROR(__xludf.DUMMYFUNCTION("IMPORTRANGE(""https://docs.google.com/spreadsheets/d/11923uPwbBZFjjGgGUA6NLw09EwE0CqkOc4q9oUmW1yo/edit?usp=sharing"",""เพชรบูรณ์!I315"")"),25)</f>
        <v>25</v>
      </c>
      <c r="J420" s="393">
        <f ca="1">IFERROR(__xludf.DUMMYFUNCTION("IMPORTRANGE(""https://docs.google.com/spreadsheets/d/11923uPwbBZFjjGgGUA6NLw09EwE0CqkOc4q9oUmW1yo/edit?usp=sharing"",""เพชรบูรณ์!J315"")"),25)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IFERROR(__xludf.DUMMYFUNCTION("IMPORTRANGE(""https://docs.google.com/spreadsheets/d/11923uPwbBZFjjGgGUA6NLw09EwE0CqkOc4q9oUmW1yo/edit?usp=sharing"",""เพชรบูรณ์!I316"")"),38)</f>
        <v>38</v>
      </c>
      <c r="J421" s="391">
        <f ca="1">IFERROR(__xludf.DUMMYFUNCTION("IMPORTRANGE(""https://docs.google.com/spreadsheets/d/11923uPwbBZFjjGgGUA6NLw09EwE0CqkOc4q9oUmW1yo/edit?usp=sharing"",""เพชรบูรณ์!J316"")"),38)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IFERROR(__xludf.DUMMYFUNCTION("IMPORTRANGE(""https://docs.google.com/spreadsheets/d/11923uPwbBZFjjGgGUA6NLw09EwE0CqkOc4q9oUmW1yo/edit?usp=sharing"",""เพชรบูรณ์!I317"")"),114)</f>
        <v>114</v>
      </c>
      <c r="J422" s="392">
        <f ca="1">IFERROR(__xludf.DUMMYFUNCTION("IMPORTRANGE(""https://docs.google.com/spreadsheets/d/11923uPwbBZFjjGgGUA6NLw09EwE0CqkOc4q9oUmW1yo/edit?usp=sharing"",""เพชรบูรณ์!J317"")"),114)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IFERROR(__xludf.DUMMYFUNCTION("IMPORTRANGE(""https://docs.google.com/spreadsheets/d/11923uPwbBZFjjGgGUA6NLw09EwE0CqkOc4q9oUmW1yo/edit?usp=sharing"",""เพชรบูรณ์!I318"")"),38)</f>
        <v>38</v>
      </c>
      <c r="J423" s="393">
        <f ca="1">IFERROR(__xludf.DUMMYFUNCTION("IMPORTRANGE(""https://docs.google.com/spreadsheets/d/11923uPwbBZFjjGgGUA6NLw09EwE0CqkOc4q9oUmW1yo/edit?usp=sharing"",""เพชรบูรณ์!J318"")"),38)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IFERROR(__xludf.DUMMYFUNCTION("IMPORTRANGE(""https://docs.google.com/spreadsheets/d/11923uPwbBZFjjGgGUA6NLw09EwE0CqkOc4q9oUmW1yo/edit?usp=sharing"",""เพชรบูรณ์!I319"")"),38)</f>
        <v>38</v>
      </c>
      <c r="J424" s="393">
        <f ca="1">IFERROR(__xludf.DUMMYFUNCTION("IMPORTRANGE(""https://docs.google.com/spreadsheets/d/11923uPwbBZFjjGgGUA6NLw09EwE0CqkOc4q9oUmW1yo/edit?usp=sharing"",""เพชรบูรณ์!J319"")"),38)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IFERROR(__xludf.DUMMYFUNCTION("IMPORTRANGE(""https://docs.google.com/spreadsheets/d/11923uPwbBZFjjGgGUA6NLw09EwE0CqkOc4q9oUmW1yo/edit?usp=sharing"",""เพชรบูรณ์!I320"")"),38)</f>
        <v>38</v>
      </c>
      <c r="J425" s="393">
        <f ca="1">IFERROR(__xludf.DUMMYFUNCTION("IMPORTRANGE(""https://docs.google.com/spreadsheets/d/11923uPwbBZFjjGgGUA6NLw09EwE0CqkOc4q9oUmW1yo/edit?usp=sharing"",""เพชรบูรณ์!J320"")"),38)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IFERROR(__xludf.DUMMYFUNCTION("IMPORTRANGE(""https://docs.google.com/spreadsheets/d/11923uPwbBZFjjGgGUA6NLw09EwE0CqkOc4q9oUmW1yo/edit?usp=sharing"",""เพชรบูรณ์!I321"")"),10)</f>
        <v>10</v>
      </c>
      <c r="J426" s="391">
        <f ca="1">IFERROR(__xludf.DUMMYFUNCTION("IMPORTRANGE(""https://docs.google.com/spreadsheets/d/11923uPwbBZFjjGgGUA6NLw09EwE0CqkOc4q9oUmW1yo/edit?usp=sharing"",""เพชรบูรณ์!J321"")"),10)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IFERROR(__xludf.DUMMYFUNCTION("IMPORTRANGE(""https://docs.google.com/spreadsheets/d/11923uPwbBZFjjGgGUA6NLw09EwE0CqkOc4q9oUmW1yo/edit?usp=sharing"",""เพชรบูรณ์!I322"")"),30)</f>
        <v>30</v>
      </c>
      <c r="J427" s="392">
        <f ca="1">IFERROR(__xludf.DUMMYFUNCTION("IMPORTRANGE(""https://docs.google.com/spreadsheets/d/11923uPwbBZFjjGgGUA6NLw09EwE0CqkOc4q9oUmW1yo/edit?usp=sharing"",""เพชรบูรณ์!J322"")"),30)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IFERROR(__xludf.DUMMYFUNCTION("IMPORTRANGE(""https://docs.google.com/spreadsheets/d/11923uPwbBZFjjGgGUA6NLw09EwE0CqkOc4q9oUmW1yo/edit?usp=sharing"",""เพชรบูรณ์!I323"")"),10)</f>
        <v>10</v>
      </c>
      <c r="J428" s="393">
        <f ca="1">IFERROR(__xludf.DUMMYFUNCTION("IMPORTRANGE(""https://docs.google.com/spreadsheets/d/11923uPwbBZFjjGgGUA6NLw09EwE0CqkOc4q9oUmW1yo/edit?usp=sharing"",""เพชรบูรณ์!J323"")"),10)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IFERROR(__xludf.DUMMYFUNCTION("IMPORTRANGE(""https://docs.google.com/spreadsheets/d/11923uPwbBZFjjGgGUA6NLw09EwE0CqkOc4q9oUmW1yo/edit?usp=sharing"",""เพชรบูรณ์!I324"")"),10)</f>
        <v>10</v>
      </c>
      <c r="J429" s="393">
        <f ca="1">IFERROR(__xludf.DUMMYFUNCTION("IMPORTRANGE(""https://docs.google.com/spreadsheets/d/11923uPwbBZFjjGgGUA6NLw09EwE0CqkOc4q9oUmW1yo/edit?usp=sharing"",""เพชรบูรณ์!J324"")"),10)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IFERROR(__xludf.DUMMYFUNCTION("IMPORTRANGE(""https://docs.google.com/spreadsheets/d/11923uPwbBZFjjGgGUA6NLw09EwE0CqkOc4q9oUmW1yo/edit?usp=sharing"",""เพชรบูรณ์!I325"")"),63)</f>
        <v>63</v>
      </c>
      <c r="J430" s="391">
        <f ca="1">IFERROR(__xludf.DUMMYFUNCTION("IMPORTRANGE(""https://docs.google.com/spreadsheets/d/11923uPwbBZFjjGgGUA6NLw09EwE0CqkOc4q9oUmW1yo/edit?usp=sharing"",""เพชรบูรณ์!J325"")"),63)</f>
        <v>63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IFERROR(__xludf.DUMMYFUNCTION("IMPORTRANGE(""https://docs.google.com/spreadsheets/d/11923uPwbBZFjjGgGUA6NLw09EwE0CqkOc4q9oUmW1yo/edit?usp=sharing"",""เพชรบูรณ์!I326"")"),25)</f>
        <v>25</v>
      </c>
      <c r="J431" s="393">
        <f ca="1">IFERROR(__xludf.DUMMYFUNCTION("IMPORTRANGE(""https://docs.google.com/spreadsheets/d/11923uPwbBZFjjGgGUA6NLw09EwE0CqkOc4q9oUmW1yo/edit?usp=sharing"",""เพชรบูรณ์!J326"")"),25)</f>
        <v>25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IFERROR(__xludf.DUMMYFUNCTION("IMPORTRANGE(""https://docs.google.com/spreadsheets/d/11923uPwbBZFjjGgGUA6NLw09EwE0CqkOc4q9oUmW1yo/edit?usp=sharing"",""เพชรบูรณ์!I327"")"),38)</f>
        <v>38</v>
      </c>
      <c r="J432" s="393">
        <f ca="1">IFERROR(__xludf.DUMMYFUNCTION("IMPORTRANGE(""https://docs.google.com/spreadsheets/d/11923uPwbBZFjjGgGUA6NLw09EwE0CqkOc4q9oUmW1yo/edit?usp=sharing"",""เพชรบูรณ์!J327"")"),38)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IFERROR(__xludf.DUMMYFUNCTION("IMPORTRANGE(""https://docs.google.com/spreadsheets/d/11923uPwbBZFjjGgGUA6NLw09EwE0CqkOc4q9oUmW1yo/edit?usp=sharing"",""เพชรบูรณ์!J328"")"),0)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IFERROR(__xludf.DUMMYFUNCTION("IMPORTRANGE(""https://docs.google.com/spreadsheets/d/11923uPwbBZFjjGgGUA6NLw09EwE0CqkOc4q9oUmW1yo/edit?usp=sharing"",""เพชรบูรณ์!J329"")"),0)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IFERROR(__xludf.DUMMYFUNCTION("IMPORTRANGE(""https://docs.google.com/spreadsheets/d/11923uPwbBZFjjGgGUA6NLw09EwE0CqkOc4q9oUmW1yo/edit?usp=sharing"",""เพชรบูรณ์!I330"")"),40)</f>
        <v>40</v>
      </c>
      <c r="J435" s="409">
        <f ca="1">IFERROR(__xludf.DUMMYFUNCTION("IMPORTRANGE(""https://docs.google.com/spreadsheets/d/11923uPwbBZFjjGgGUA6NLw09EwE0CqkOc4q9oUmW1yo/edit?usp=sharing"",""เพชรบูรณ์!J330"")"),40)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IFERROR(__xludf.DUMMYFUNCTION("IMPORTRANGE(""https://docs.google.com/spreadsheets/d/11923uPwbBZFjjGgGUA6NLw09EwE0CqkOc4q9oUmW1yo/edit?usp=sharing"",""เพชรบูรณ์!L330"")"),162000)</f>
        <v>162000</v>
      </c>
      <c r="M435" s="411"/>
      <c r="N435" s="411">
        <f ca="1">IFERROR(__xludf.DUMMYFUNCTION("IMPORTRANGE(""https://docs.google.com/spreadsheets/d/11923uPwbBZFjjGgGUA6NLw09EwE0CqkOc4q9oUmW1yo/edit?usp=sharing"",""เพชรบูรณ์!M330"")"),118269.5)</f>
        <v>118269.5</v>
      </c>
      <c r="O435" s="411">
        <f t="shared" ref="O435:O439" ca="1" si="114">+IF(L435&gt;0,N435*100/L435,0)</f>
        <v>73.005864197530869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IFERROR(__xludf.DUMMYFUNCTION("IMPORTRANGE(""https://docs.google.com/spreadsheets/d/11923uPwbBZFjjGgGUA6NLw09EwE0CqkOc4q9oUmW1yo/edit?usp=sharing"",""เพชรบูรณ์!L331"")"),0)</f>
        <v>0</v>
      </c>
      <c r="M436" s="164"/>
      <c r="N436" s="168">
        <f ca="1">IFERROR(__xludf.DUMMYFUNCTION("IMPORTRANGE(""https://docs.google.com/spreadsheets/d/11923uPwbBZFjjGgGUA6NLw09EwE0CqkOc4q9oUmW1yo/edit?usp=sharing"",""เพชรบูรณ์!M331"")"),0)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IFERROR(__xludf.DUMMYFUNCTION("IMPORTRANGE(""https://docs.google.com/spreadsheets/d/11923uPwbBZFjjGgGUA6NLw09EwE0CqkOc4q9oUmW1yo/edit?usp=sharing"",""เพชรบูรณ์!L332"")"),162000)</f>
        <v>162000</v>
      </c>
      <c r="M437" s="165"/>
      <c r="N437" s="168">
        <f ca="1">IFERROR(__xludf.DUMMYFUNCTION("IMPORTRANGE(""https://docs.google.com/spreadsheets/d/11923uPwbBZFjjGgGUA6NLw09EwE0CqkOc4q9oUmW1yo/edit?usp=sharing"",""เพชรบูรณ์!M332"")"),118269.5)</f>
        <v>118269.5</v>
      </c>
      <c r="O437" s="168">
        <f t="shared" ca="1" si="114"/>
        <v>73.005864197530869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IFERROR(__xludf.DUMMYFUNCTION("IMPORTRANGE(""https://docs.google.com/spreadsheets/d/11923uPwbBZFjjGgGUA6NLw09EwE0CqkOc4q9oUmW1yo/edit?usp=sharing"",""เพชรบูรณ์!L333"")"),0)</f>
        <v>0</v>
      </c>
      <c r="M438" s="168"/>
      <c r="N438" s="168">
        <f ca="1">IFERROR(__xludf.DUMMYFUNCTION("IMPORTRANGE(""https://docs.google.com/spreadsheets/d/11923uPwbBZFjjGgGUA6NLw09EwE0CqkOc4q9oUmW1yo/edit?usp=sharing"",""เพชรบูรณ์!M333"")"),0)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IFERROR(__xludf.DUMMYFUNCTION("IMPORTRANGE(""https://docs.google.com/spreadsheets/d/11923uPwbBZFjjGgGUA6NLw09EwE0CqkOc4q9oUmW1yo/edit?usp=sharing"",""เพชรบูรณ์!L334"")"),162000)</f>
        <v>162000</v>
      </c>
      <c r="M439" s="168"/>
      <c r="N439" s="168">
        <f ca="1">IFERROR(__xludf.DUMMYFUNCTION("IMPORTRANGE(""https://docs.google.com/spreadsheets/d/11923uPwbBZFjjGgGUA6NLw09EwE0CqkOc4q9oUmW1yo/edit?usp=sharing"",""เพชรบูรณ์!M334"")"),118269.5)</f>
        <v>118269.5</v>
      </c>
      <c r="O439" s="168">
        <f t="shared" ca="1" si="114"/>
        <v>73.005864197530869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IFERROR(__xludf.DUMMYFUNCTION("IMPORTRANGE(""https://docs.google.com/spreadsheets/d/11923uPwbBZFjjGgGUA6NLw09EwE0CqkOc4q9oUmW1yo/edit?usp=sharing"",""เพชรบูรณ์!M335"")"),93159.5)</f>
        <v>93159.5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IFERROR(__xludf.DUMMYFUNCTION("IMPORTRANGE(""https://docs.google.com/spreadsheets/d/11923uPwbBZFjjGgGUA6NLw09EwE0CqkOc4q9oUmW1yo/edit?usp=sharing"",""เพชรบูรณ์!M336"")"),0)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IFERROR(__xludf.DUMMYFUNCTION("IMPORTRANGE(""https://docs.google.com/spreadsheets/d/11923uPwbBZFjjGgGUA6NLw09EwE0CqkOc4q9oUmW1yo/edit?usp=sharing"",""เพชรบูรณ์!M337"")"),0)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IFERROR(__xludf.DUMMYFUNCTION("IMPORTRANGE(""https://docs.google.com/spreadsheets/d/11923uPwbBZFjjGgGUA6NLw09EwE0CqkOc4q9oUmW1yo/edit?usp=sharing"",""เพชรบูรณ์!M338"")"),25110)</f>
        <v>25110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IFERROR(__xludf.DUMMYFUNCTION("IMPORTRANGE(""https://docs.google.com/spreadsheets/d/11923uPwbBZFjjGgGUA6NLw09EwE0CqkOc4q9oUmW1yo/edit?usp=sharing"",""เพชรบูรณ์!J340"")"),0)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IFERROR(__xludf.DUMMYFUNCTION("IMPORTRANGE(""https://docs.google.com/spreadsheets/d/11923uPwbBZFjjGgGUA6NLw09EwE0CqkOc4q9oUmW1yo/edit?usp=sharing"",""เพชรบูรณ์!J341"")"),1)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IFERROR(__xludf.DUMMYFUNCTION("IMPORTRANGE(""https://docs.google.com/spreadsheets/d/11923uPwbBZFjjGgGUA6NLw09EwE0CqkOc4q9oUmW1yo/edit?usp=sharing"",""เพชรบูรณ์!J342"")"),1)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IFERROR(__xludf.DUMMYFUNCTION("IMPORTRANGE(""https://docs.google.com/spreadsheets/d/11923uPwbBZFjjGgGUA6NLw09EwE0CqkOc4q9oUmW1yo/edit?usp=sharing"",""เพชรบูรณ์!J343"")"),1)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IFERROR(__xludf.DUMMYFUNCTION("IMPORTRANGE(""https://docs.google.com/spreadsheets/d/11923uPwbBZFjjGgGUA6NLw09EwE0CqkOc4q9oUmW1yo/edit?usp=sharing"",""เพชรบูรณ์!I344"")"),40)</f>
        <v>40</v>
      </c>
      <c r="J449" s="200">
        <f ca="1">IFERROR(__xludf.DUMMYFUNCTION("IMPORTRANGE(""https://docs.google.com/spreadsheets/d/11923uPwbBZFjjGgGUA6NLw09EwE0CqkOc4q9oUmW1yo/edit?usp=sharing"",""เพชรบูรณ์!J344"")"),40)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IFERROR(__xludf.DUMMYFUNCTION("IMPORTRANGE(""https://docs.google.com/spreadsheets/d/11923uPwbBZFjjGgGUA6NLw09EwE0CqkOc4q9oUmW1yo/edit?usp=sharing"",""เพชรบูรณ์!I345"")"),40)</f>
        <v>40</v>
      </c>
      <c r="J450" s="188">
        <f ca="1">IFERROR(__xludf.DUMMYFUNCTION("IMPORTRANGE(""https://docs.google.com/spreadsheets/d/11923uPwbBZFjjGgGUA6NLw09EwE0CqkOc4q9oUmW1yo/edit?usp=sharing"",""เพชรบูรณ์!J345"")"),40)</f>
        <v>40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IFERROR(__xludf.DUMMYFUNCTION("IMPORTRANGE(""https://docs.google.com/spreadsheets/d/11923uPwbBZFjjGgGUA6NLw09EwE0CqkOc4q9oUmW1yo/edit?usp=sharing"",""เพชรบูรณ์!I346"")"),0)</f>
        <v>0</v>
      </c>
      <c r="J451" s="187">
        <f ca="1">IFERROR(__xludf.DUMMYFUNCTION("IMPORTRANGE(""https://docs.google.com/spreadsheets/d/11923uPwbBZFjjGgGUA6NLw09EwE0CqkOc4q9oUmW1yo/edit?usp=sharing"",""เพชรบูรณ์!J346"")"),0)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IFERROR(__xludf.DUMMYFUNCTION("IMPORTRANGE(""https://docs.google.com/spreadsheets/d/11923uPwbBZFjjGgGUA6NLw09EwE0CqkOc4q9oUmW1yo/edit?usp=sharing"",""เพชรบูรณ์!I347"")"),0)</f>
        <v>0</v>
      </c>
      <c r="J452" s="187">
        <f ca="1">IFERROR(__xludf.DUMMYFUNCTION("IMPORTRANGE(""https://docs.google.com/spreadsheets/d/11923uPwbBZFjjGgGUA6NLw09EwE0CqkOc4q9oUmW1yo/edit?usp=sharing"",""เพชรบูรณ์!J347"")"),0)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IFERROR(__xludf.DUMMYFUNCTION("IMPORTRANGE(""https://docs.google.com/spreadsheets/d/11923uPwbBZFjjGgGUA6NLw09EwE0CqkOc4q9oUmW1yo/edit?usp=sharing"",""เพชรบูรณ์!J348"")"),0)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IFERROR(__xludf.DUMMYFUNCTION("IMPORTRANGE(""https://docs.google.com/spreadsheets/d/11923uPwbBZFjjGgGUA6NLw09EwE0CqkOc4q9oUmW1yo/edit?usp=sharing"",""เพชรบูรณ์!J349"")"),0)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IFERROR(__xludf.DUMMYFUNCTION("IMPORTRANGE(""https://docs.google.com/spreadsheets/d/11923uPwbBZFjjGgGUA6NLw09EwE0CqkOc4q9oUmW1yo/edit?usp=sharing"",""เพชรบูรณ์!I350"")"),55704)</f>
        <v>55704</v>
      </c>
      <c r="J455" s="370">
        <f ca="1">IFERROR(__xludf.DUMMYFUNCTION("IMPORTRANGE(""https://docs.google.com/spreadsheets/d/11923uPwbBZFjjGgGUA6NLw09EwE0CqkOc4q9oUmW1yo/edit?usp=sharing"",""เพชรบูรณ์!J350"")"),0)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IFERROR(__xludf.DUMMYFUNCTION("IMPORTRANGE(""https://docs.google.com/spreadsheets/d/11923uPwbBZFjjGgGUA6NLw09EwE0CqkOc4q9oUmW1yo/edit?usp=sharing"",""เพชรบูรณ์!L350"")"),430776)</f>
        <v>430776</v>
      </c>
      <c r="M455" s="372"/>
      <c r="N455" s="372">
        <f ca="1">IFERROR(__xludf.DUMMYFUNCTION("IMPORTRANGE(""https://docs.google.com/spreadsheets/d/11923uPwbBZFjjGgGUA6NLw09EwE0CqkOc4q9oUmW1yo/edit?usp=sharing"",""เพชรบูรณ์!M350"")"),125442)</f>
        <v>125442</v>
      </c>
      <c r="O455" s="372">
        <f t="shared" ref="O455:O459" ca="1" si="116">+IF(L455&gt;0,N455*100/L455,0)</f>
        <v>29.120006685609226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IFERROR(__xludf.DUMMYFUNCTION("IMPORTRANGE(""https://docs.google.com/spreadsheets/d/11923uPwbBZFjjGgGUA6NLw09EwE0CqkOc4q9oUmW1yo/edit?usp=sharing"",""เพชรบูรณ์!L351"")"),0)</f>
        <v>0</v>
      </c>
      <c r="M456" s="164"/>
      <c r="N456" s="168">
        <f ca="1">IFERROR(__xludf.DUMMYFUNCTION("IMPORTRANGE(""https://docs.google.com/spreadsheets/d/11923uPwbBZFjjGgGUA6NLw09EwE0CqkOc4q9oUmW1yo/edit?usp=sharing"",""เพชรบูรณ์!M351"")"),0)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IFERROR(__xludf.DUMMYFUNCTION("IMPORTRANGE(""https://docs.google.com/spreadsheets/d/11923uPwbBZFjjGgGUA6NLw09EwE0CqkOc4q9oUmW1yo/edit?usp=sharing"",""เพชรบูรณ์!L352"")"),430776)</f>
        <v>430776</v>
      </c>
      <c r="M457" s="165"/>
      <c r="N457" s="168">
        <f ca="1">IFERROR(__xludf.DUMMYFUNCTION("IMPORTRANGE(""https://docs.google.com/spreadsheets/d/11923uPwbBZFjjGgGUA6NLw09EwE0CqkOc4q9oUmW1yo/edit?usp=sharing"",""เพชรบูรณ์!M352"")"),125442)</f>
        <v>125442</v>
      </c>
      <c r="O457" s="168">
        <f t="shared" ca="1" si="116"/>
        <v>29.120006685609226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IFERROR(__xludf.DUMMYFUNCTION("IMPORTRANGE(""https://docs.google.com/spreadsheets/d/11923uPwbBZFjjGgGUA6NLw09EwE0CqkOc4q9oUmW1yo/edit?usp=sharing"",""เพชรบูรณ์!L353"")"),0)</f>
        <v>0</v>
      </c>
      <c r="M458" s="168"/>
      <c r="N458" s="168">
        <f ca="1">IFERROR(__xludf.DUMMYFUNCTION("IMPORTRANGE(""https://docs.google.com/spreadsheets/d/11923uPwbBZFjjGgGUA6NLw09EwE0CqkOc4q9oUmW1yo/edit?usp=sharing"",""เพชรบูรณ์!M353"")"),0)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IFERROR(__xludf.DUMMYFUNCTION("IMPORTRANGE(""https://docs.google.com/spreadsheets/d/11923uPwbBZFjjGgGUA6NLw09EwE0CqkOc4q9oUmW1yo/edit?usp=sharing"",""เพชรบูรณ์!L354"")"),430776)</f>
        <v>430776</v>
      </c>
      <c r="M459" s="168"/>
      <c r="N459" s="168">
        <f ca="1">IFERROR(__xludf.DUMMYFUNCTION("IMPORTRANGE(""https://docs.google.com/spreadsheets/d/11923uPwbBZFjjGgGUA6NLw09EwE0CqkOc4q9oUmW1yo/edit?usp=sharing"",""เพชรบูรณ์!M354"")"),125442)</f>
        <v>125442</v>
      </c>
      <c r="O459" s="168">
        <f t="shared" ca="1" si="116"/>
        <v>29.120006685609226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IFERROR(__xludf.DUMMYFUNCTION("IMPORTRANGE(""https://docs.google.com/spreadsheets/d/11923uPwbBZFjjGgGUA6NLw09EwE0CqkOc4q9oUmW1yo/edit?usp=sharing"",""เพชรบูรณ์!M355"")"),0)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IFERROR(__xludf.DUMMYFUNCTION("IMPORTRANGE(""https://docs.google.com/spreadsheets/d/11923uPwbBZFjjGgGUA6NLw09EwE0CqkOc4q9oUmW1yo/edit?usp=sharing"",""เพชรบูรณ์!M356"")"),0)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IFERROR(__xludf.DUMMYFUNCTION("IMPORTRANGE(""https://docs.google.com/spreadsheets/d/11923uPwbBZFjjGgGUA6NLw09EwE0CqkOc4q9oUmW1yo/edit?usp=sharing"",""เพชรบูรณ์!M357"")"),0)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IFERROR(__xludf.DUMMYFUNCTION("IMPORTRANGE(""https://docs.google.com/spreadsheets/d/11923uPwbBZFjjGgGUA6NLw09EwE0CqkOc4q9oUmW1yo/edit?usp=sharing"",""เพชรบูรณ์!M358"")"),125442)</f>
        <v>125442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IFERROR(__xludf.DUMMYFUNCTION("IMPORTRANGE(""https://docs.google.com/spreadsheets/d/11923uPwbBZFjjGgGUA6NLw09EwE0CqkOc4q9oUmW1yo/edit?usp=sharing"",""เพชรบูรณ์!I359"")"),55704)</f>
        <v>55704</v>
      </c>
      <c r="J464" s="267">
        <f ca="1">IFERROR(__xludf.DUMMYFUNCTION("IMPORTRANGE(""https://docs.google.com/spreadsheets/d/11923uPwbBZFjjGgGUA6NLw09EwE0CqkOc4q9oUmW1yo/edit?usp=sharing"",""เพชรบูรณ์!J359"")"),0)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IFERROR(__xludf.DUMMYFUNCTION("IMPORTRANGE(""https://docs.google.com/spreadsheets/d/11923uPwbBZFjjGgGUA6NLw09EwE0CqkOc4q9oUmW1yo/edit?usp=sharing"",""เพชรบูรณ์!I360"")"),55704)</f>
        <v>55704</v>
      </c>
      <c r="J465" s="420">
        <f ca="1">IFERROR(__xludf.DUMMYFUNCTION("IMPORTRANGE(""https://docs.google.com/spreadsheets/d/11923uPwbBZFjjGgGUA6NLw09EwE0CqkOc4q9oUmW1yo/edit?usp=sharing"",""เพชรบูรณ์!J360"")"),55710)</f>
        <v>55710</v>
      </c>
      <c r="K465" s="201">
        <f t="shared" ca="1" si="117"/>
        <v>100.01077121930203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IFERROR(__xludf.DUMMYFUNCTION("IMPORTRANGE(""https://docs.google.com/spreadsheets/d/11923uPwbBZFjjGgGUA6NLw09EwE0CqkOc4q9oUmW1yo/edit?usp=sharing"",""เพชรบูรณ์!I361"")"),3219)</f>
        <v>3219</v>
      </c>
      <c r="J466" s="420">
        <f ca="1">IFERROR(__xludf.DUMMYFUNCTION("IMPORTRANGE(""https://docs.google.com/spreadsheets/d/11923uPwbBZFjjGgGUA6NLw09EwE0CqkOc4q9oUmW1yo/edit?usp=sharing"",""เพชรบูรณ์!J361"")"),3219)</f>
        <v>3219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IFERROR(__xludf.DUMMYFUNCTION("IMPORTRANGE(""https://docs.google.com/spreadsheets/d/11923uPwbBZFjjGgGUA6NLw09EwE0CqkOc4q9oUmW1yo/edit?usp=sharing"",""เพชรบูรณ์!I362"")"),0)</f>
        <v>0</v>
      </c>
      <c r="J467" s="188">
        <f ca="1">IFERROR(__xludf.DUMMYFUNCTION("IMPORTRANGE(""https://docs.google.com/spreadsheets/d/11923uPwbBZFjjGgGUA6NLw09EwE0CqkOc4q9oUmW1yo/edit?usp=sharing"",""เพชรบูรณ์!J362"")"),34722)</f>
        <v>34722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IFERROR(__xludf.DUMMYFUNCTION("IMPORTRANGE(""https://docs.google.com/spreadsheets/d/11923uPwbBZFjjGgGUA6NLw09EwE0CqkOc4q9oUmW1yo/edit?usp=sharing"",""เพชรบูรณ์!I363"")"),0)</f>
        <v>0</v>
      </c>
      <c r="J468" s="188">
        <f ca="1">IFERROR(__xludf.DUMMYFUNCTION("IMPORTRANGE(""https://docs.google.com/spreadsheets/d/11923uPwbBZFjjGgGUA6NLw09EwE0CqkOc4q9oUmW1yo/edit?usp=sharing"",""เพชรบูรณ์!J363"")"),2238)</f>
        <v>2238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IFERROR(__xludf.DUMMYFUNCTION("IMPORTRANGE(""https://docs.google.com/spreadsheets/d/11923uPwbBZFjjGgGUA6NLw09EwE0CqkOc4q9oUmW1yo/edit?usp=sharing"",""เพชรบูรณ์!I364"")"),0)</f>
        <v>0</v>
      </c>
      <c r="J469" s="188">
        <f ca="1">IFERROR(__xludf.DUMMYFUNCTION("IMPORTRANGE(""https://docs.google.com/spreadsheets/d/11923uPwbBZFjjGgGUA6NLw09EwE0CqkOc4q9oUmW1yo/edit?usp=sharing"",""เพชรบูรณ์!J364"")"),19289)</f>
        <v>19289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IFERROR(__xludf.DUMMYFUNCTION("IMPORTRANGE(""https://docs.google.com/spreadsheets/d/11923uPwbBZFjjGgGUA6NLw09EwE0CqkOc4q9oUmW1yo/edit?usp=sharing"",""เพชรบูรณ์!I365"")"),0)</f>
        <v>0</v>
      </c>
      <c r="J470" s="188">
        <f ca="1">IFERROR(__xludf.DUMMYFUNCTION("IMPORTRANGE(""https://docs.google.com/spreadsheets/d/11923uPwbBZFjjGgGUA6NLw09EwE0CqkOc4q9oUmW1yo/edit?usp=sharing"",""เพชรบูรณ์!J365"")"),896)</f>
        <v>896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IFERROR(__xludf.DUMMYFUNCTION("IMPORTRANGE(""https://docs.google.com/spreadsheets/d/11923uPwbBZFjjGgGUA6NLw09EwE0CqkOc4q9oUmW1yo/edit?usp=sharing"",""เพชรบูรณ์!I366"")"),0)</f>
        <v>0</v>
      </c>
      <c r="J471" s="188">
        <f ca="1">IFERROR(__xludf.DUMMYFUNCTION("IMPORTRANGE(""https://docs.google.com/spreadsheets/d/11923uPwbBZFjjGgGUA6NLw09EwE0CqkOc4q9oUmW1yo/edit?usp=sharing"",""เพชรบูรณ์!J366"")"),1699)</f>
        <v>1699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IFERROR(__xludf.DUMMYFUNCTION("IMPORTRANGE(""https://docs.google.com/spreadsheets/d/11923uPwbBZFjjGgGUA6NLw09EwE0CqkOc4q9oUmW1yo/edit?usp=sharing"",""เพชรบูรณ์!I367"")"),0)</f>
        <v>0</v>
      </c>
      <c r="J472" s="188">
        <f ca="1">IFERROR(__xludf.DUMMYFUNCTION("IMPORTRANGE(""https://docs.google.com/spreadsheets/d/11923uPwbBZFjjGgGUA6NLw09EwE0CqkOc4q9oUmW1yo/edit?usp=sharing"",""เพชรบูรณ์!J367"")"),85)</f>
        <v>85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IFERROR(__xludf.DUMMYFUNCTION("IMPORTRANGE(""https://docs.google.com/spreadsheets/d/11923uPwbBZFjjGgGUA6NLw09EwE0CqkOc4q9oUmW1yo/edit?usp=sharing"",""เพชรบูรณ์!I368"")"),55704)</f>
        <v>55704</v>
      </c>
      <c r="J473" s="420">
        <f ca="1">IFERROR(__xludf.DUMMYFUNCTION("IMPORTRANGE(""https://docs.google.com/spreadsheets/d/11923uPwbBZFjjGgGUA6NLw09EwE0CqkOc4q9oUmW1yo/edit?usp=sharing"",""เพชรบูรณ์!J368"")"),55710)</f>
        <v>55710</v>
      </c>
      <c r="K473" s="201">
        <f t="shared" ca="1" si="117"/>
        <v>100.01077121930203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IFERROR(__xludf.DUMMYFUNCTION("IMPORTRANGE(""https://docs.google.com/spreadsheets/d/11923uPwbBZFjjGgGUA6NLw09EwE0CqkOc4q9oUmW1yo/edit?usp=sharing"",""เพชรบูรณ์!I369"")"),3219)</f>
        <v>3219</v>
      </c>
      <c r="J474" s="420">
        <f ca="1">IFERROR(__xludf.DUMMYFUNCTION("IMPORTRANGE(""https://docs.google.com/spreadsheets/d/11923uPwbBZFjjGgGUA6NLw09EwE0CqkOc4q9oUmW1yo/edit?usp=sharing"",""เพชรบูรณ์!J369"")"),3219)</f>
        <v>3219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IFERROR(__xludf.DUMMYFUNCTION("IMPORTRANGE(""https://docs.google.com/spreadsheets/d/11923uPwbBZFjjGgGUA6NLw09EwE0CqkOc4q9oUmW1yo/edit?usp=sharing"",""เพชรบูรณ์!I370"")"),0)</f>
        <v>0</v>
      </c>
      <c r="J475" s="188">
        <f ca="1">IFERROR(__xludf.DUMMYFUNCTION("IMPORTRANGE(""https://docs.google.com/spreadsheets/d/11923uPwbBZFjjGgGUA6NLw09EwE0CqkOc4q9oUmW1yo/edit?usp=sharing"",""เพชรบูรณ์!J370"")"),35956)</f>
        <v>35956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IFERROR(__xludf.DUMMYFUNCTION("IMPORTRANGE(""https://docs.google.com/spreadsheets/d/11923uPwbBZFjjGgGUA6NLw09EwE0CqkOc4q9oUmW1yo/edit?usp=sharing"",""เพชรบูรณ์!I371"")"),0)</f>
        <v>0</v>
      </c>
      <c r="J476" s="188">
        <f ca="1">IFERROR(__xludf.DUMMYFUNCTION("IMPORTRANGE(""https://docs.google.com/spreadsheets/d/11923uPwbBZFjjGgGUA6NLw09EwE0CqkOc4q9oUmW1yo/edit?usp=sharing"",""เพชรบูรณ์!J371"")"),2315)</f>
        <v>2315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IFERROR(__xludf.DUMMYFUNCTION("IMPORTRANGE(""https://docs.google.com/spreadsheets/d/11923uPwbBZFjjGgGUA6NLw09EwE0CqkOc4q9oUmW1yo/edit?usp=sharing"",""เพชรบูรณ์!I372"")"),0)</f>
        <v>0</v>
      </c>
      <c r="J477" s="188">
        <f ca="1">IFERROR(__xludf.DUMMYFUNCTION("IMPORTRANGE(""https://docs.google.com/spreadsheets/d/11923uPwbBZFjjGgGUA6NLw09EwE0CqkOc4q9oUmW1yo/edit?usp=sharing"",""เพชรบูรณ์!J372"")"),18014)</f>
        <v>18014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IFERROR(__xludf.DUMMYFUNCTION("IMPORTRANGE(""https://docs.google.com/spreadsheets/d/11923uPwbBZFjjGgGUA6NLw09EwE0CqkOc4q9oUmW1yo/edit?usp=sharing"",""เพชรบูรณ์!I373"")"),0)</f>
        <v>0</v>
      </c>
      <c r="J478" s="188">
        <f ca="1">IFERROR(__xludf.DUMMYFUNCTION("IMPORTRANGE(""https://docs.google.com/spreadsheets/d/11923uPwbBZFjjGgGUA6NLw09EwE0CqkOc4q9oUmW1yo/edit?usp=sharing"",""เพชรบูรณ์!J373"")"),820)</f>
        <v>820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IFERROR(__xludf.DUMMYFUNCTION("IMPORTRANGE(""https://docs.google.com/spreadsheets/d/11923uPwbBZFjjGgGUA6NLw09EwE0CqkOc4q9oUmW1yo/edit?usp=sharing"",""เพชรบูรณ์!I374"")"),0)</f>
        <v>0</v>
      </c>
      <c r="J479" s="188">
        <f ca="1">IFERROR(__xludf.DUMMYFUNCTION("IMPORTRANGE(""https://docs.google.com/spreadsheets/d/11923uPwbBZFjjGgGUA6NLw09EwE0CqkOc4q9oUmW1yo/edit?usp=sharing"",""เพชรบูรณ์!J374"")"),1740)</f>
        <v>1740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IFERROR(__xludf.DUMMYFUNCTION("IMPORTRANGE(""https://docs.google.com/spreadsheets/d/11923uPwbBZFjjGgGUA6NLw09EwE0CqkOc4q9oUmW1yo/edit?usp=sharing"",""เพชรบูรณ์!I375"")"),0)</f>
        <v>0</v>
      </c>
      <c r="J480" s="188">
        <f ca="1">IFERROR(__xludf.DUMMYFUNCTION("IMPORTRANGE(""https://docs.google.com/spreadsheets/d/11923uPwbBZFjjGgGUA6NLw09EwE0CqkOc4q9oUmW1yo/edit?usp=sharing"",""เพชรบูรณ์!J375"")"),84)</f>
        <v>84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IFERROR(__xludf.DUMMYFUNCTION("IMPORTRANGE(""https://docs.google.com/spreadsheets/d/11923uPwbBZFjjGgGUA6NLw09EwE0CqkOc4q9oUmW1yo/edit?usp=sharing"",""เพชรบูรณ์!I376"")"),55704)</f>
        <v>55704</v>
      </c>
      <c r="J481" s="420">
        <f ca="1">IFERROR(__xludf.DUMMYFUNCTION("IMPORTRANGE(""https://docs.google.com/spreadsheets/d/11923uPwbBZFjjGgGUA6NLw09EwE0CqkOc4q9oUmW1yo/edit?usp=sharing"",""เพชรบูรณ์!J376"")"),0)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IFERROR(__xludf.DUMMYFUNCTION("IMPORTRANGE(""https://docs.google.com/spreadsheets/d/11923uPwbBZFjjGgGUA6NLw09EwE0CqkOc4q9oUmW1yo/edit?usp=sharing"",""เพชรบูรณ์!I377"")"),3219)</f>
        <v>3219</v>
      </c>
      <c r="J482" s="420">
        <f ca="1">IFERROR(__xludf.DUMMYFUNCTION("IMPORTRANGE(""https://docs.google.com/spreadsheets/d/11923uPwbBZFjjGgGUA6NLw09EwE0CqkOc4q9oUmW1yo/edit?usp=sharing"",""เพชรบูรณ์!J377"")"),0)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IFERROR(__xludf.DUMMYFUNCTION("IMPORTRANGE(""https://docs.google.com/spreadsheets/d/11923uPwbBZFjjGgGUA6NLw09EwE0CqkOc4q9oUmW1yo/edit?usp=sharing"",""เพชรบูรณ์!I378"")"),0)</f>
        <v>0</v>
      </c>
      <c r="J483" s="188">
        <f ca="1">IFERROR(__xludf.DUMMYFUNCTION("IMPORTRANGE(""https://docs.google.com/spreadsheets/d/11923uPwbBZFjjGgGUA6NLw09EwE0CqkOc4q9oUmW1yo/edit?usp=sharing"",""เพชรบูรณ์!J378"")"),0)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IFERROR(__xludf.DUMMYFUNCTION("IMPORTRANGE(""https://docs.google.com/spreadsheets/d/11923uPwbBZFjjGgGUA6NLw09EwE0CqkOc4q9oUmW1yo/edit?usp=sharing"",""เพชรบูรณ์!I379"")"),0)</f>
        <v>0</v>
      </c>
      <c r="J484" s="188">
        <f ca="1">IFERROR(__xludf.DUMMYFUNCTION("IMPORTRANGE(""https://docs.google.com/spreadsheets/d/11923uPwbBZFjjGgGUA6NLw09EwE0CqkOc4q9oUmW1yo/edit?usp=sharing"",""เพชรบูรณ์!J379"")"),0)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IFERROR(__xludf.DUMMYFUNCTION("IMPORTRANGE(""https://docs.google.com/spreadsheets/d/11923uPwbBZFjjGgGUA6NLw09EwE0CqkOc4q9oUmW1yo/edit?usp=sharing"",""เพชรบูรณ์!I380"")"),0)</f>
        <v>0</v>
      </c>
      <c r="J485" s="188">
        <f ca="1">IFERROR(__xludf.DUMMYFUNCTION("IMPORTRANGE(""https://docs.google.com/spreadsheets/d/11923uPwbBZFjjGgGUA6NLw09EwE0CqkOc4q9oUmW1yo/edit?usp=sharing"",""เพชรบูรณ์!J380"")"),0)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IFERROR(__xludf.DUMMYFUNCTION("IMPORTRANGE(""https://docs.google.com/spreadsheets/d/11923uPwbBZFjjGgGUA6NLw09EwE0CqkOc4q9oUmW1yo/edit?usp=sharing"",""เพชรบูรณ์!I381"")"),0)</f>
        <v>0</v>
      </c>
      <c r="J486" s="188">
        <f ca="1">IFERROR(__xludf.DUMMYFUNCTION("IMPORTRANGE(""https://docs.google.com/spreadsheets/d/11923uPwbBZFjjGgGUA6NLw09EwE0CqkOc4q9oUmW1yo/edit?usp=sharing"",""เพชรบูรณ์!J381"")"),0)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IFERROR(__xludf.DUMMYFUNCTION("IMPORTRANGE(""https://docs.google.com/spreadsheets/d/11923uPwbBZFjjGgGUA6NLw09EwE0CqkOc4q9oUmW1yo/edit?usp=sharing"",""เพชรบูรณ์!I382"")"),0)</f>
        <v>0</v>
      </c>
      <c r="J487" s="420">
        <f ca="1">IFERROR(__xludf.DUMMYFUNCTION("IMPORTRANGE(""https://docs.google.com/spreadsheets/d/11923uPwbBZFjjGgGUA6NLw09EwE0CqkOc4q9oUmW1yo/edit?usp=sharing"",""เพชรบูรณ์!J382"")"),0)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IFERROR(__xludf.DUMMYFUNCTION("IMPORTRANGE(""https://docs.google.com/spreadsheets/d/11923uPwbBZFjjGgGUA6NLw09EwE0CqkOc4q9oUmW1yo/edit?usp=sharing"",""เพชรบูรณ์!I383"")"),0)</f>
        <v>0</v>
      </c>
      <c r="J488" s="420">
        <f ca="1">IFERROR(__xludf.DUMMYFUNCTION("IMPORTRANGE(""https://docs.google.com/spreadsheets/d/11923uPwbBZFjjGgGUA6NLw09EwE0CqkOc4q9oUmW1yo/edit?usp=sharing"",""เพชรบูรณ์!J383"")"),0)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IFERROR(__xludf.DUMMYFUNCTION("IMPORTRANGE(""https://docs.google.com/spreadsheets/d/11923uPwbBZFjjGgGUA6NLw09EwE0CqkOc4q9oUmW1yo/edit?usp=sharing"",""เพชรบูรณ์!I384"")"),0)</f>
        <v>0</v>
      </c>
      <c r="J489" s="188">
        <f ca="1">IFERROR(__xludf.DUMMYFUNCTION("IMPORTRANGE(""https://docs.google.com/spreadsheets/d/11923uPwbBZFjjGgGUA6NLw09EwE0CqkOc4q9oUmW1yo/edit?usp=sharing"",""เพชรบูรณ์!J384"")"),0)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IFERROR(__xludf.DUMMYFUNCTION("IMPORTRANGE(""https://docs.google.com/spreadsheets/d/11923uPwbBZFjjGgGUA6NLw09EwE0CqkOc4q9oUmW1yo/edit?usp=sharing"",""เพชรบูรณ์!I385"")"),0)</f>
        <v>0</v>
      </c>
      <c r="J490" s="188">
        <f ca="1">IFERROR(__xludf.DUMMYFUNCTION("IMPORTRANGE(""https://docs.google.com/spreadsheets/d/11923uPwbBZFjjGgGUA6NLw09EwE0CqkOc4q9oUmW1yo/edit?usp=sharing"",""เพชรบูรณ์!J385"")"),0)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IFERROR(__xludf.DUMMYFUNCTION("IMPORTRANGE(""https://docs.google.com/spreadsheets/d/11923uPwbBZFjjGgGUA6NLw09EwE0CqkOc4q9oUmW1yo/edit?usp=sharing"",""เพชรบูรณ์!I386"")"),0)</f>
        <v>0</v>
      </c>
      <c r="J491" s="188">
        <f ca="1">IFERROR(__xludf.DUMMYFUNCTION("IMPORTRANGE(""https://docs.google.com/spreadsheets/d/11923uPwbBZFjjGgGUA6NLw09EwE0CqkOc4q9oUmW1yo/edit?usp=sharing"",""เพชรบูรณ์!J386"")"),0)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IFERROR(__xludf.DUMMYFUNCTION("IMPORTRANGE(""https://docs.google.com/spreadsheets/d/11923uPwbBZFjjGgGUA6NLw09EwE0CqkOc4q9oUmW1yo/edit?usp=sharing"",""เพชรบูรณ์!I387"")"),0)</f>
        <v>0</v>
      </c>
      <c r="J492" s="188">
        <f ca="1">IFERROR(__xludf.DUMMYFUNCTION("IMPORTRANGE(""https://docs.google.com/spreadsheets/d/11923uPwbBZFjjGgGUA6NLw09EwE0CqkOc4q9oUmW1yo/edit?usp=sharing"",""เพชรบูรณ์!J387"")"),0)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IFERROR(__xludf.DUMMYFUNCTION("IMPORTRANGE(""https://docs.google.com/spreadsheets/d/11923uPwbBZFjjGgGUA6NLw09EwE0CqkOc4q9oUmW1yo/edit?usp=sharing"",""เพชรบูรณ์!I388"")"),0)</f>
        <v>0</v>
      </c>
      <c r="J493" s="188">
        <f ca="1">IFERROR(__xludf.DUMMYFUNCTION("IMPORTRANGE(""https://docs.google.com/spreadsheets/d/11923uPwbBZFjjGgGUA6NLw09EwE0CqkOc4q9oUmW1yo/edit?usp=sharing"",""เพชรบูรณ์!J388"")"),0)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IFERROR(__xludf.DUMMYFUNCTION("IMPORTRANGE(""https://docs.google.com/spreadsheets/d/11923uPwbBZFjjGgGUA6NLw09EwE0CqkOc4q9oUmW1yo/edit?usp=sharing"",""เพชรบูรณ์!I389"")"),0)</f>
        <v>0</v>
      </c>
      <c r="J494" s="436">
        <f ca="1">IFERROR(__xludf.DUMMYFUNCTION("IMPORTRANGE(""https://docs.google.com/spreadsheets/d/11923uPwbBZFjjGgGUA6NLw09EwE0CqkOc4q9oUmW1yo/edit?usp=sharing"",""เพชรบูรณ์!J389"")"),0)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IFERROR(__xludf.DUMMYFUNCTION("IMPORTRANGE(""https://docs.google.com/spreadsheets/d/11923uPwbBZFjjGgGUA6NLw09EwE0CqkOc4q9oUmW1yo/edit?usp=sharing"",""เพชรบูรณ์!I390"")"),0)</f>
        <v>0</v>
      </c>
      <c r="J495" s="436">
        <f ca="1">IFERROR(__xludf.DUMMYFUNCTION("IMPORTRANGE(""https://docs.google.com/spreadsheets/d/11923uPwbBZFjjGgGUA6NLw09EwE0CqkOc4q9oUmW1yo/edit?usp=sharing"",""เพชรบูรณ์!J390"")"),0)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IFERROR(__xludf.DUMMYFUNCTION("IMPORTRANGE(""https://docs.google.com/spreadsheets/d/11923uPwbBZFjjGgGUA6NLw09EwE0CqkOc4q9oUmW1yo/edit?usp=sharing"",""เพชรบูรณ์!I391"")"),0)</f>
        <v>0</v>
      </c>
      <c r="J496" s="436">
        <f ca="1">IFERROR(__xludf.DUMMYFUNCTION("IMPORTRANGE(""https://docs.google.com/spreadsheets/d/11923uPwbBZFjjGgGUA6NLw09EwE0CqkOc4q9oUmW1yo/edit?usp=sharing"",""เพชรบูรณ์!J391"")"),0)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IFERROR(__xludf.DUMMYFUNCTION("IMPORTRANGE(""https://docs.google.com/spreadsheets/d/11923uPwbBZFjjGgGUA6NLw09EwE0CqkOc4q9oUmW1yo/edit?usp=sharing"",""เพชรบูรณ์!I392"")"),3349)</f>
        <v>3349</v>
      </c>
      <c r="J497" s="443">
        <f ca="1">IFERROR(__xludf.DUMMYFUNCTION("IMPORTRANGE(""https://docs.google.com/spreadsheets/d/11923uPwbBZFjjGgGUA6NLw09EwE0CqkOc4q9oUmW1yo/edit?usp=sharing"",""เพชรบูรณ์!J392"")"),1140)</f>
        <v>1140</v>
      </c>
      <c r="K497" s="444">
        <f t="shared" ca="1" si="117"/>
        <v>34.040011943863838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IFERROR(__xludf.DUMMYFUNCTION("IMPORTRANGE(""https://docs.google.com/spreadsheets/d/11923uPwbBZFjjGgGUA6NLw09EwE0CqkOc4q9oUmW1yo/edit?usp=sharing"",""เพชรบูรณ์!I393"")"),3349)</f>
        <v>3349</v>
      </c>
      <c r="J498" s="420">
        <f ca="1">IFERROR(__xludf.DUMMYFUNCTION("IMPORTRANGE(""https://docs.google.com/spreadsheets/d/11923uPwbBZFjjGgGUA6NLw09EwE0CqkOc4q9oUmW1yo/edit?usp=sharing"",""เพชรบูรณ์!J393"")"),1140)</f>
        <v>1140</v>
      </c>
      <c r="K498" s="201">
        <f t="shared" ca="1" si="117"/>
        <v>34.040011943863838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IFERROR(__xludf.DUMMYFUNCTION("IMPORTRANGE(""https://docs.google.com/spreadsheets/d/11923uPwbBZFjjGgGUA6NLw09EwE0CqkOc4q9oUmW1yo/edit?usp=sharing"",""เพชรบูรณ์!I394"")"),281)</f>
        <v>281</v>
      </c>
      <c r="J499" s="420">
        <f ca="1">IFERROR(__xludf.DUMMYFUNCTION("IMPORTRANGE(""https://docs.google.com/spreadsheets/d/11923uPwbBZFjjGgGUA6NLw09EwE0CqkOc4q9oUmW1yo/edit?usp=sharing"",""เพชรบูรณ์!J394"")"),92)</f>
        <v>92</v>
      </c>
      <c r="K499" s="201">
        <f t="shared" ca="1" si="117"/>
        <v>32.740213523131672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IFERROR(__xludf.DUMMYFUNCTION("IMPORTRANGE(""https://docs.google.com/spreadsheets/d/11923uPwbBZFjjGgGUA6NLw09EwE0CqkOc4q9oUmW1yo/edit?usp=sharing"",""เพชรบูรณ์!I395"")"),0)</f>
        <v>0</v>
      </c>
      <c r="J500" s="162">
        <f ca="1">IFERROR(__xludf.DUMMYFUNCTION("IMPORTRANGE(""https://docs.google.com/spreadsheets/d/11923uPwbBZFjjGgGUA6NLw09EwE0CqkOc4q9oUmW1yo/edit?usp=sharing"",""เพชรบูรณ์!J395"")"),1106)</f>
        <v>1106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IFERROR(__xludf.DUMMYFUNCTION("IMPORTRANGE(""https://docs.google.com/spreadsheets/d/11923uPwbBZFjjGgGUA6NLw09EwE0CqkOc4q9oUmW1yo/edit?usp=sharing"",""เพชรบูรณ์!I396"")"),0)</f>
        <v>0</v>
      </c>
      <c r="J501" s="162">
        <f ca="1">IFERROR(__xludf.DUMMYFUNCTION("IMPORTRANGE(""https://docs.google.com/spreadsheets/d/11923uPwbBZFjjGgGUA6NLw09EwE0CqkOc4q9oUmW1yo/edit?usp=sharing"",""เพชรบูรณ์!J396"")"),87)</f>
        <v>87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IFERROR(__xludf.DUMMYFUNCTION("IMPORTRANGE(""https://docs.google.com/spreadsheets/d/11923uPwbBZFjjGgGUA6NLw09EwE0CqkOc4q9oUmW1yo/edit?usp=sharing"",""เพชรบูรณ์!I397"")"),0)</f>
        <v>0</v>
      </c>
      <c r="J502" s="188">
        <f ca="1">IFERROR(__xludf.DUMMYFUNCTION("IMPORTRANGE(""https://docs.google.com/spreadsheets/d/11923uPwbBZFjjGgGUA6NLw09EwE0CqkOc4q9oUmW1yo/edit?usp=sharing"",""เพชรบูรณ์!J397"")"),1025)</f>
        <v>1025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IFERROR(__xludf.DUMMYFUNCTION("IMPORTRANGE(""https://docs.google.com/spreadsheets/d/11923uPwbBZFjjGgGUA6NLw09EwE0CqkOc4q9oUmW1yo/edit?usp=sharing"",""เพชรบูรณ์!I398"")"),0)</f>
        <v>0</v>
      </c>
      <c r="J503" s="197">
        <f ca="1">IFERROR(__xludf.DUMMYFUNCTION("IMPORTRANGE(""https://docs.google.com/spreadsheets/d/11923uPwbBZFjjGgGUA6NLw09EwE0CqkOc4q9oUmW1yo/edit?usp=sharing"",""เพชรบูรณ์!J398"")"),80)</f>
        <v>80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IFERROR(__xludf.DUMMYFUNCTION("IMPORTRANGE(""https://docs.google.com/spreadsheets/d/11923uPwbBZFjjGgGUA6NLw09EwE0CqkOc4q9oUmW1yo/edit?usp=sharing"",""เพชรบูรณ์!I399"")"),0)</f>
        <v>0</v>
      </c>
      <c r="J504" s="188">
        <f ca="1">IFERROR(__xludf.DUMMYFUNCTION("IMPORTRANGE(""https://docs.google.com/spreadsheets/d/11923uPwbBZFjjGgGUA6NLw09EwE0CqkOc4q9oUmW1yo/edit?usp=sharing"",""เพชรบูรณ์!J399"")"),81)</f>
        <v>81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IFERROR(__xludf.DUMMYFUNCTION("IMPORTRANGE(""https://docs.google.com/spreadsheets/d/11923uPwbBZFjjGgGUA6NLw09EwE0CqkOc4q9oUmW1yo/edit?usp=sharing"",""เพชรบูรณ์!I400"")"),0)</f>
        <v>0</v>
      </c>
      <c r="J505" s="197">
        <f ca="1">IFERROR(__xludf.DUMMYFUNCTION("IMPORTRANGE(""https://docs.google.com/spreadsheets/d/11923uPwbBZFjjGgGUA6NLw09EwE0CqkOc4q9oUmW1yo/edit?usp=sharing"",""เพชรบูรณ์!J400"")"),7)</f>
        <v>7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IFERROR(__xludf.DUMMYFUNCTION("IMPORTRANGE(""https://docs.google.com/spreadsheets/d/11923uPwbBZFjjGgGUA6NLw09EwE0CqkOc4q9oUmW1yo/edit?usp=sharing"",""เพชรบูรณ์!I401"")"),0)</f>
        <v>0</v>
      </c>
      <c r="J506" s="188">
        <f ca="1">IFERROR(__xludf.DUMMYFUNCTION("IMPORTRANGE(""https://docs.google.com/spreadsheets/d/11923uPwbBZFjjGgGUA6NLw09EwE0CqkOc4q9oUmW1yo/edit?usp=sharing"",""เพชรบูรณ์!J401"")"),0)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IFERROR(__xludf.DUMMYFUNCTION("IMPORTRANGE(""https://docs.google.com/spreadsheets/d/11923uPwbBZFjjGgGUA6NLw09EwE0CqkOc4q9oUmW1yo/edit?usp=sharing"",""เพชรบูรณ์!I402"")"),0)</f>
        <v>0</v>
      </c>
      <c r="J507" s="197">
        <f ca="1">IFERROR(__xludf.DUMMYFUNCTION("IMPORTRANGE(""https://docs.google.com/spreadsheets/d/11923uPwbBZFjjGgGUA6NLw09EwE0CqkOc4q9oUmW1yo/edit?usp=sharing"",""เพชรบูรณ์!J402"")"),0)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IFERROR(__xludf.DUMMYFUNCTION("IMPORTRANGE(""https://docs.google.com/spreadsheets/d/11923uPwbBZFjjGgGUA6NLw09EwE0CqkOc4q9oUmW1yo/edit?usp=sharing"",""เพชรบูรณ์!I403"")"),0)</f>
        <v>0</v>
      </c>
      <c r="J508" s="162">
        <f ca="1">IFERROR(__xludf.DUMMYFUNCTION("IMPORTRANGE(""https://docs.google.com/spreadsheets/d/11923uPwbBZFjjGgGUA6NLw09EwE0CqkOc4q9oUmW1yo/edit?usp=sharing"",""เพชรบูรณ์!J403"")"),20)</f>
        <v>20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IFERROR(__xludf.DUMMYFUNCTION("IMPORTRANGE(""https://docs.google.com/spreadsheets/d/11923uPwbBZFjjGgGUA6NLw09EwE0CqkOc4q9oUmW1yo/edit?usp=sharing"",""เพชรบูรณ์!I404"")"),0)</f>
        <v>0</v>
      </c>
      <c r="J509" s="162">
        <f ca="1">IFERROR(__xludf.DUMMYFUNCTION("IMPORTRANGE(""https://docs.google.com/spreadsheets/d/11923uPwbBZFjjGgGUA6NLw09EwE0CqkOc4q9oUmW1yo/edit?usp=sharing"",""เพชรบูรณ์!J404"")"),4)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IFERROR(__xludf.DUMMYFUNCTION("IMPORTRANGE(""https://docs.google.com/spreadsheets/d/11923uPwbBZFjjGgGUA6NLw09EwE0CqkOc4q9oUmW1yo/edit?usp=sharing"",""เพชรบูรณ์!I405"")"),0)</f>
        <v>0</v>
      </c>
      <c r="J510" s="197">
        <f ca="1">IFERROR(__xludf.DUMMYFUNCTION("IMPORTRANGE(""https://docs.google.com/spreadsheets/d/11923uPwbBZFjjGgGUA6NLw09EwE0CqkOc4q9oUmW1yo/edit?usp=sharing"",""เพชรบูรณ์!J405"")"),20)</f>
        <v>20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IFERROR(__xludf.DUMMYFUNCTION("IMPORTRANGE(""https://docs.google.com/spreadsheets/d/11923uPwbBZFjjGgGUA6NLw09EwE0CqkOc4q9oUmW1yo/edit?usp=sharing"",""เพชรบูรณ์!I406"")"),0)</f>
        <v>0</v>
      </c>
      <c r="J511" s="197">
        <f ca="1">IFERROR(__xludf.DUMMYFUNCTION("IMPORTRANGE(""https://docs.google.com/spreadsheets/d/11923uPwbBZFjjGgGUA6NLw09EwE0CqkOc4q9oUmW1yo/edit?usp=sharing"",""เพชรบูรณ์!J406"")"),4)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IFERROR(__xludf.DUMMYFUNCTION("IMPORTRANGE(""https://docs.google.com/spreadsheets/d/11923uPwbBZFjjGgGUA6NLw09EwE0CqkOc4q9oUmW1yo/edit?usp=sharing"",""เพชรบูรณ์!I407"")"),0)</f>
        <v>0</v>
      </c>
      <c r="J512" s="197">
        <f ca="1">IFERROR(__xludf.DUMMYFUNCTION("IMPORTRANGE(""https://docs.google.com/spreadsheets/d/11923uPwbBZFjjGgGUA6NLw09EwE0CqkOc4q9oUmW1yo/edit?usp=sharing"",""เพชรบูรณ์!J407"")"),0)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IFERROR(__xludf.DUMMYFUNCTION("IMPORTRANGE(""https://docs.google.com/spreadsheets/d/11923uPwbBZFjjGgGUA6NLw09EwE0CqkOc4q9oUmW1yo/edit?usp=sharing"",""เพชรบูรณ์!I408"")"),0)</f>
        <v>0</v>
      </c>
      <c r="J513" s="197">
        <f ca="1">IFERROR(__xludf.DUMMYFUNCTION("IMPORTRANGE(""https://docs.google.com/spreadsheets/d/11923uPwbBZFjjGgGUA6NLw09EwE0CqkOc4q9oUmW1yo/edit?usp=sharing"",""เพชรบูรณ์!J408"")"),0)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IFERROR(__xludf.DUMMYFUNCTION("IMPORTRANGE(""https://docs.google.com/spreadsheets/d/11923uPwbBZFjjGgGUA6NLw09EwE0CqkOc4q9oUmW1yo/edit?usp=sharing"",""เพชรบูรณ์!I409"")"),0)</f>
        <v>0</v>
      </c>
      <c r="J514" s="197">
        <f ca="1">IFERROR(__xludf.DUMMYFUNCTION("IMPORTRANGE(""https://docs.google.com/spreadsheets/d/11923uPwbBZFjjGgGUA6NLw09EwE0CqkOc4q9oUmW1yo/edit?usp=sharing"",""เพชรบูรณ์!J409"")"),14)</f>
        <v>14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IFERROR(__xludf.DUMMYFUNCTION("IMPORTRANGE(""https://docs.google.com/spreadsheets/d/11923uPwbBZFjjGgGUA6NLw09EwE0CqkOc4q9oUmW1yo/edit?usp=sharing"",""เพชรบูรณ์!I410"")"),0)</f>
        <v>0</v>
      </c>
      <c r="J515" s="197">
        <f ca="1">IFERROR(__xludf.DUMMYFUNCTION("IMPORTRANGE(""https://docs.google.com/spreadsheets/d/11923uPwbBZFjjGgGUA6NLw09EwE0CqkOc4q9oUmW1yo/edit?usp=sharing"",""เพชรบูรณ์!J410"")"),1)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IFERROR(__xludf.DUMMYFUNCTION("IMPORTRANGE(""https://docs.google.com/spreadsheets/d/11923uPwbBZFjjGgGUA6NLw09EwE0CqkOc4q9oUmW1yo/edit?usp=sharing"",""เพชรบูรณ์!I411"")"),0)</f>
        <v>0</v>
      </c>
      <c r="J516" s="267">
        <f ca="1">IFERROR(__xludf.DUMMYFUNCTION("IMPORTRANGE(""https://docs.google.com/spreadsheets/d/11923uPwbBZFjjGgGUA6NLw09EwE0CqkOc4q9oUmW1yo/edit?usp=sharing"",""เพชรบูรณ์!J411"")"),0)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IFERROR(__xludf.DUMMYFUNCTION("IMPORTRANGE(""https://docs.google.com/spreadsheets/d/11923uPwbBZFjjGgGUA6NLw09EwE0CqkOc4q9oUmW1yo/edit?usp=sharing"",""เพชรบูรณ์!I412"")"),0)</f>
        <v>0</v>
      </c>
      <c r="J517" s="284">
        <f ca="1">IFERROR(__xludf.DUMMYFUNCTION("IMPORTRANGE(""https://docs.google.com/spreadsheets/d/11923uPwbBZFjjGgGUA6NLw09EwE0CqkOc4q9oUmW1yo/edit?usp=sharing"",""เพชรบูรณ์!J412"")"),0)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IFERROR(__xludf.DUMMYFUNCTION("IMPORTRANGE(""https://docs.google.com/spreadsheets/d/11923uPwbBZFjjGgGUA6NLw09EwE0CqkOc4q9oUmW1yo/edit?usp=sharing"",""เพชรบูรณ์!I413"")"),0)</f>
        <v>0</v>
      </c>
      <c r="J518" s="284">
        <f ca="1">IFERROR(__xludf.DUMMYFUNCTION("IMPORTRANGE(""https://docs.google.com/spreadsheets/d/11923uPwbBZFjjGgGUA6NLw09EwE0CqkOc4q9oUmW1yo/edit?usp=sharing"",""เพชรบูรณ์!J413"")"),0)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IFERROR(__xludf.DUMMYFUNCTION("IMPORTRANGE(""https://docs.google.com/spreadsheets/d/11923uPwbBZFjjGgGUA6NLw09EwE0CqkOc4q9oUmW1yo/edit?usp=sharing"",""เพชรบูรณ์!I414"")"),0)</f>
        <v>0</v>
      </c>
      <c r="J519" s="187">
        <f ca="1">IFERROR(__xludf.DUMMYFUNCTION("IMPORTRANGE(""https://docs.google.com/spreadsheets/d/11923uPwbBZFjjGgGUA6NLw09EwE0CqkOc4q9oUmW1yo/edit?usp=sharing"",""เพชรบูรณ์!J414"")"),0)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IFERROR(__xludf.DUMMYFUNCTION("IMPORTRANGE(""https://docs.google.com/spreadsheets/d/11923uPwbBZFjjGgGUA6NLw09EwE0CqkOc4q9oUmW1yo/edit?usp=sharing"",""เพชรบูรณ์!I415"")"),0)</f>
        <v>0</v>
      </c>
      <c r="J520" s="187">
        <f ca="1">IFERROR(__xludf.DUMMYFUNCTION("IMPORTRANGE(""https://docs.google.com/spreadsheets/d/11923uPwbBZFjjGgGUA6NLw09EwE0CqkOc4q9oUmW1yo/edit?usp=sharing"",""เพชรบูรณ์!J415"")"),0)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IFERROR(__xludf.DUMMYFUNCTION("IMPORTRANGE(""https://docs.google.com/spreadsheets/d/11923uPwbBZFjjGgGUA6NLw09EwE0CqkOc4q9oUmW1yo/edit?usp=sharing"",""เพชรบูรณ์!I416"")"),0)</f>
        <v>0</v>
      </c>
      <c r="J521" s="187">
        <f ca="1">IFERROR(__xludf.DUMMYFUNCTION("IMPORTRANGE(""https://docs.google.com/spreadsheets/d/11923uPwbBZFjjGgGUA6NLw09EwE0CqkOc4q9oUmW1yo/edit?usp=sharing"",""เพชรบูรณ์!J416"")"),0)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IFERROR(__xludf.DUMMYFUNCTION("IMPORTRANGE(""https://docs.google.com/spreadsheets/d/11923uPwbBZFjjGgGUA6NLw09EwE0CqkOc4q9oUmW1yo/edit?usp=sharing"",""เพชรบูรณ์!I417"")"),0)</f>
        <v>0</v>
      </c>
      <c r="J522" s="187">
        <f ca="1">IFERROR(__xludf.DUMMYFUNCTION("IMPORTRANGE(""https://docs.google.com/spreadsheets/d/11923uPwbBZFjjGgGUA6NLw09EwE0CqkOc4q9oUmW1yo/edit?usp=sharing"",""เพชรบูรณ์!J417"")"),0)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IFERROR(__xludf.DUMMYFUNCTION("IMPORTRANGE(""https://docs.google.com/spreadsheets/d/11923uPwbBZFjjGgGUA6NLw09EwE0CqkOc4q9oUmW1yo/edit?usp=sharing"",""เพชรบูรณ์!I418"")"),0)</f>
        <v>0</v>
      </c>
      <c r="J523" s="187">
        <f ca="1">IFERROR(__xludf.DUMMYFUNCTION("IMPORTRANGE(""https://docs.google.com/spreadsheets/d/11923uPwbBZFjjGgGUA6NLw09EwE0CqkOc4q9oUmW1yo/edit?usp=sharing"",""เพชรบูรณ์!J418"")"),1090)</f>
        <v>1090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IFERROR(__xludf.DUMMYFUNCTION("IMPORTRANGE(""https://docs.google.com/spreadsheets/d/11923uPwbBZFjjGgGUA6NLw09EwE0CqkOc4q9oUmW1yo/edit?usp=sharing"",""เพชรบูรณ์!I419"")"),0)</f>
        <v>0</v>
      </c>
      <c r="J524" s="187">
        <f ca="1">IFERROR(__xludf.DUMMYFUNCTION("IMPORTRANGE(""https://docs.google.com/spreadsheets/d/11923uPwbBZFjjGgGUA6NLw09EwE0CqkOc4q9oUmW1yo/edit?usp=sharing"",""เพชรบูรณ์!J419"")"),42)</f>
        <v>42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IFERROR(__xludf.DUMMYFUNCTION("IMPORTRANGE(""https://docs.google.com/spreadsheets/d/11923uPwbBZFjjGgGUA6NLw09EwE0CqkOc4q9oUmW1yo/edit?usp=sharing"",""เพชรบูรณ์!I420"")"),1090)</f>
        <v>1090</v>
      </c>
      <c r="J525" s="284">
        <f ca="1">IFERROR(__xludf.DUMMYFUNCTION("IMPORTRANGE(""https://docs.google.com/spreadsheets/d/11923uPwbBZFjjGgGUA6NLw09EwE0CqkOc4q9oUmW1yo/edit?usp=sharing"",""เพชรบูรณ์!J420"")"),0)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IFERROR(__xludf.DUMMYFUNCTION("IMPORTRANGE(""https://docs.google.com/spreadsheets/d/11923uPwbBZFjjGgGUA6NLw09EwE0CqkOc4q9oUmW1yo/edit?usp=sharing"",""เพชรบูรณ์!I421"")"),42)</f>
        <v>42</v>
      </c>
      <c r="J526" s="284">
        <f ca="1">IFERROR(__xludf.DUMMYFUNCTION("IMPORTRANGE(""https://docs.google.com/spreadsheets/d/11923uPwbBZFjjGgGUA6NLw09EwE0CqkOc4q9oUmW1yo/edit?usp=sharing"",""เพชรบูรณ์!J421"")"),0)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IFERROR(__xludf.DUMMYFUNCTION("IMPORTRANGE(""https://docs.google.com/spreadsheets/d/11923uPwbBZFjjGgGUA6NLw09EwE0CqkOc4q9oUmW1yo/edit?usp=sharing"",""เพชรบูรณ์!I422"")"),0)</f>
        <v>0</v>
      </c>
      <c r="J527" s="197">
        <f ca="1">IFERROR(__xludf.DUMMYFUNCTION("IMPORTRANGE(""https://docs.google.com/spreadsheets/d/11923uPwbBZFjjGgGUA6NLw09EwE0CqkOc4q9oUmW1yo/edit?usp=sharing"",""เพชรบูรณ์!J422"")"),0)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IFERROR(__xludf.DUMMYFUNCTION("IMPORTRANGE(""https://docs.google.com/spreadsheets/d/11923uPwbBZFjjGgGUA6NLw09EwE0CqkOc4q9oUmW1yo/edit?usp=sharing"",""เพชรบูรณ์!I423"")"),0)</f>
        <v>0</v>
      </c>
      <c r="J528" s="197">
        <f ca="1">IFERROR(__xludf.DUMMYFUNCTION("IMPORTRANGE(""https://docs.google.com/spreadsheets/d/11923uPwbBZFjjGgGUA6NLw09EwE0CqkOc4q9oUmW1yo/edit?usp=sharing"",""เพชรบูรณ์!J423"")"),0)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IFERROR(__xludf.DUMMYFUNCTION("IMPORTRANGE(""https://docs.google.com/spreadsheets/d/11923uPwbBZFjjGgGUA6NLw09EwE0CqkOc4q9oUmW1yo/edit?usp=sharing"",""เพชรบูรณ์!I424"")"),0)</f>
        <v>0</v>
      </c>
      <c r="J529" s="197">
        <f ca="1">IFERROR(__xludf.DUMMYFUNCTION("IMPORTRANGE(""https://docs.google.com/spreadsheets/d/11923uPwbBZFjjGgGUA6NLw09EwE0CqkOc4q9oUmW1yo/edit?usp=sharing"",""เพชรบูรณ์!J424"")"),0)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IFERROR(__xludf.DUMMYFUNCTION("IMPORTRANGE(""https://docs.google.com/spreadsheets/d/11923uPwbBZFjjGgGUA6NLw09EwE0CqkOc4q9oUmW1yo/edit?usp=sharing"",""เพชรบูรณ์!I425"")"),0)</f>
        <v>0</v>
      </c>
      <c r="J530" s="197">
        <f ca="1">IFERROR(__xludf.DUMMYFUNCTION("IMPORTRANGE(""https://docs.google.com/spreadsheets/d/11923uPwbBZFjjGgGUA6NLw09EwE0CqkOc4q9oUmW1yo/edit?usp=sharing"",""เพชรบูรณ์!J425"")"),0)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IFERROR(__xludf.DUMMYFUNCTION("IMPORTRANGE(""https://docs.google.com/spreadsheets/d/11923uPwbBZFjjGgGUA6NLw09EwE0CqkOc4q9oUmW1yo/edit?usp=sharing"",""เพชรบูรณ์!I426"")"),0)</f>
        <v>0</v>
      </c>
      <c r="J531" s="197">
        <f ca="1">IFERROR(__xludf.DUMMYFUNCTION("IMPORTRANGE(""https://docs.google.com/spreadsheets/d/11923uPwbBZFjjGgGUA6NLw09EwE0CqkOc4q9oUmW1yo/edit?usp=sharing"",""เพชรบูรณ์!J426"")"),0)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IFERROR(__xludf.DUMMYFUNCTION("IMPORTRANGE(""https://docs.google.com/spreadsheets/d/11923uPwbBZFjjGgGUA6NLw09EwE0CqkOc4q9oUmW1yo/edit?usp=sharing"",""เพชรบูรณ์!I427"")"),0)</f>
        <v>0</v>
      </c>
      <c r="J532" s="466">
        <f ca="1">IFERROR(__xludf.DUMMYFUNCTION("IMPORTRANGE(""https://docs.google.com/spreadsheets/d/11923uPwbBZFjjGgGUA6NLw09EwE0CqkOc4q9oUmW1yo/edit?usp=sharing"",""เพชรบูรณ์!J427"")"),0)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IFERROR(__xludf.DUMMYFUNCTION("IMPORTRANGE(""https://docs.google.com/spreadsheets/d/11923uPwbBZFjjGgGUA6NLw09EwE0CqkOc4q9oUmW1yo/edit?usp=sharing"",""เพชรบูรณ์!I428"")"),22)</f>
        <v>22</v>
      </c>
      <c r="J533" s="409">
        <f ca="1">IFERROR(__xludf.DUMMYFUNCTION("IMPORTRANGE(""https://docs.google.com/spreadsheets/d/11923uPwbBZFjjGgGUA6NLw09EwE0CqkOc4q9oUmW1yo/edit?usp=sharing"",""เพชรบูรณ์!J428"")"),22)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IFERROR(__xludf.DUMMYFUNCTION("IMPORTRANGE(""https://docs.google.com/spreadsheets/d/11923uPwbBZFjjGgGUA6NLw09EwE0CqkOc4q9oUmW1yo/edit?usp=sharing"",""เพชรบูรณ์!L428"")"),34340)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IFERROR(__xludf.DUMMYFUNCTION("IMPORTRANGE(""https://docs.google.com/spreadsheets/d/11923uPwbBZFjjGgGUA6NLw09EwE0CqkOc4q9oUmW1yo/edit?usp=sharing"",""เพชรบูรณ์!M428"")"),17161)</f>
        <v>17161</v>
      </c>
      <c r="O533" s="411">
        <f t="shared" ref="O533:O537" ca="1" si="118">+IF(L533&gt;0,N533*100/L533,0)</f>
        <v>49.973791496796736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IFERROR(__xludf.DUMMYFUNCTION("IMPORTRANGE(""https://docs.google.com/spreadsheets/d/11923uPwbBZFjjGgGUA6NLw09EwE0CqkOc4q9oUmW1yo/edit?usp=sharing"",""เพชรบูรณ์!L429"")"),0)</f>
        <v>0</v>
      </c>
      <c r="M534" s="164"/>
      <c r="N534" s="168">
        <f ca="1">IFERROR(__xludf.DUMMYFUNCTION("IMPORTRANGE(""https://docs.google.com/spreadsheets/d/11923uPwbBZFjjGgGUA6NLw09EwE0CqkOc4q9oUmW1yo/edit?usp=sharing"",""เพชรบูรณ์!M429"")"),0)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IFERROR(__xludf.DUMMYFUNCTION("IMPORTRANGE(""https://docs.google.com/spreadsheets/d/11923uPwbBZFjjGgGUA6NLw09EwE0CqkOc4q9oUmW1yo/edit?usp=sharing"",""เพชรบูรณ์!L430"")"),34340)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IFERROR(__xludf.DUMMYFUNCTION("IMPORTRANGE(""https://docs.google.com/spreadsheets/d/11923uPwbBZFjjGgGUA6NLw09EwE0CqkOc4q9oUmW1yo/edit?usp=sharing"",""เพชรบูรณ์!M430"")"),17161)</f>
        <v>17161</v>
      </c>
      <c r="O535" s="168">
        <f t="shared" ca="1" si="118"/>
        <v>49.973791496796736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IFERROR(__xludf.DUMMYFUNCTION("IMPORTRANGE(""https://docs.google.com/spreadsheets/d/11923uPwbBZFjjGgGUA6NLw09EwE0CqkOc4q9oUmW1yo/edit?usp=sharing"",""เพชรบูรณ์!L431"")"),0)</f>
        <v>0</v>
      </c>
      <c r="M536" s="168"/>
      <c r="N536" s="168">
        <f ca="1">IFERROR(__xludf.DUMMYFUNCTION("IMPORTRANGE(""https://docs.google.com/spreadsheets/d/11923uPwbBZFjjGgGUA6NLw09EwE0CqkOc4q9oUmW1yo/edit?usp=sharing"",""เพชรบูรณ์!M431"")"),0)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IFERROR(__xludf.DUMMYFUNCTION("IMPORTRANGE(""https://docs.google.com/spreadsheets/d/11923uPwbBZFjjGgGUA6NLw09EwE0CqkOc4q9oUmW1yo/edit?usp=sharing"",""เพชรบูรณ์!L432"")"),34340)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IFERROR(__xludf.DUMMYFUNCTION("IMPORTRANGE(""https://docs.google.com/spreadsheets/d/11923uPwbBZFjjGgGUA6NLw09EwE0CqkOc4q9oUmW1yo/edit?usp=sharing"",""เพชรบูรณ์!M432"")"),17161)</f>
        <v>17161</v>
      </c>
      <c r="O537" s="168">
        <f t="shared" ca="1" si="118"/>
        <v>49.973791496796736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IFERROR(__xludf.DUMMYFUNCTION("IMPORTRANGE(""https://docs.google.com/spreadsheets/d/11923uPwbBZFjjGgGUA6NLw09EwE0CqkOc4q9oUmW1yo/edit?usp=sharing"",""เพชรบูรณ์!M433"")"),17161)</f>
        <v>17161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IFERROR(__xludf.DUMMYFUNCTION("IMPORTRANGE(""https://docs.google.com/spreadsheets/d/11923uPwbBZFjjGgGUA6NLw09EwE0CqkOc4q9oUmW1yo/edit?usp=sharing"",""เพชรบูรณ์!M434"")"),0)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IFERROR(__xludf.DUMMYFUNCTION("IMPORTRANGE(""https://docs.google.com/spreadsheets/d/11923uPwbBZFjjGgGUA6NLw09EwE0CqkOc4q9oUmW1yo/edit?usp=sharing"",""เพชรบูรณ์!M435"")"),0)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IFERROR(__xludf.DUMMYFUNCTION("IMPORTRANGE(""https://docs.google.com/spreadsheets/d/11923uPwbBZFjjGgGUA6NLw09EwE0CqkOc4q9oUmW1yo/edit?usp=sharing"",""เพชรบูรณ์!M436"")"),0)</f>
        <v>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IFERROR(__xludf.DUMMYFUNCTION("IMPORTRANGE(""https://docs.google.com/spreadsheets/d/11923uPwbBZFjjGgGUA6NLw09EwE0CqkOc4q9oUmW1yo/edit?usp=sharing"",""เพชรบูรณ์!J438"")"),0)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IFERROR(__xludf.DUMMYFUNCTION("IMPORTRANGE(""https://docs.google.com/spreadsheets/d/11923uPwbBZFjjGgGUA6NLw09EwE0CqkOc4q9oUmW1yo/edit?usp=sharing"",""เพชรบูรณ์!J439"")"),1)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IFERROR(__xludf.DUMMYFUNCTION("IMPORTRANGE(""https://docs.google.com/spreadsheets/d/11923uPwbBZFjjGgGUA6NLw09EwE0CqkOc4q9oUmW1yo/edit?usp=sharing"",""เพชรบูรณ์!J440"")"),1)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IFERROR(__xludf.DUMMYFUNCTION("IMPORTRANGE(""https://docs.google.com/spreadsheets/d/11923uPwbBZFjjGgGUA6NLw09EwE0CqkOc4q9oUmW1yo/edit?usp=sharing"",""เพชรบูรณ์!J441"")"),1)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IFERROR(__xludf.DUMMYFUNCTION("IMPORTRANGE(""https://docs.google.com/spreadsheets/d/11923uPwbBZFjjGgGUA6NLw09EwE0CqkOc4q9oUmW1yo/edit?usp=sharing"",""เพชรบูรณ์!I442"")"),22)</f>
        <v>22</v>
      </c>
      <c r="J547" s="188">
        <f ca="1">IFERROR(__xludf.DUMMYFUNCTION("IMPORTRANGE(""https://docs.google.com/spreadsheets/d/11923uPwbBZFjjGgGUA6NLw09EwE0CqkOc4q9oUmW1yo/edit?usp=sharing"",""เพชรบูรณ์!J442"")"),22)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IFERROR(__xludf.DUMMYFUNCTION("IMPORTRANGE(""https://docs.google.com/spreadsheets/d/11923uPwbBZFjjGgGUA6NLw09EwE0CqkOc4q9oUmW1yo/edit?usp=sharing"",""เพชรบูรณ์!J166"")"),0)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IFERROR(__xludf.DUMMYFUNCTION("IMPORTRANGE(""https://docs.google.com/spreadsheets/d/11923uPwbBZFjjGgGUA6NLw09EwE0CqkOc4q9oUmW1yo/edit?usp=sharing"",""เพชรบูรณ์!J444"")"),0)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IFERROR(__xludf.DUMMYFUNCTION("IMPORTRANGE(""https://docs.google.com/spreadsheets/d/11923uPwbBZFjjGgGUA6NLw09EwE0CqkOc4q9oUmW1yo/edit?usp=sharing"",""เพชรบูรณ์!J445"")"),0)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IFERROR(__xludf.DUMMYFUNCTION("IMPORTRANGE(""https://docs.google.com/spreadsheets/d/11923uPwbBZFjjGgGUA6NLw09EwE0CqkOc4q9oUmW1yo/edit?usp=sharing"",""เพชรบูรณ์!I446"")"),0)</f>
        <v>0</v>
      </c>
      <c r="J551" s="409">
        <f ca="1">IFERROR(__xludf.DUMMYFUNCTION("IMPORTRANGE(""https://docs.google.com/spreadsheets/d/11923uPwbBZFjjGgGUA6NLw09EwE0CqkOc4q9oUmW1yo/edit?usp=sharing"",""เพชรบูรณ์!J446"")"),0)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IFERROR(__xludf.DUMMYFUNCTION("IMPORTRANGE(""https://docs.google.com/spreadsheets/d/11923uPwbBZFjjGgGUA6NLw09EwE0CqkOc4q9oUmW1yo/edit?usp=sharing"",""เพชรบูรณ์!L446"")"),0)</f>
        <v>0</v>
      </c>
      <c r="M551" s="411"/>
      <c r="N551" s="411">
        <f ca="1">IFERROR(__xludf.DUMMYFUNCTION("IMPORTRANGE(""https://docs.google.com/spreadsheets/d/11923uPwbBZFjjGgGUA6NLw09EwE0CqkOc4q9oUmW1yo/edit?usp=sharing"",""เพชรบูรณ์!M446"")"),0)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IFERROR(__xludf.DUMMYFUNCTION("IMPORTRANGE(""https://docs.google.com/spreadsheets/d/11923uPwbBZFjjGgGUA6NLw09EwE0CqkOc4q9oUmW1yo/edit?usp=sharing"",""เพชรบูรณ์!L447"")"),0)</f>
        <v>0</v>
      </c>
      <c r="M552" s="164"/>
      <c r="N552" s="168">
        <f ca="1">IFERROR(__xludf.DUMMYFUNCTION("IMPORTRANGE(""https://docs.google.com/spreadsheets/d/11923uPwbBZFjjGgGUA6NLw09EwE0CqkOc4q9oUmW1yo/edit?usp=sharing"",""เพชรบูรณ์!M447"")"),0)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IFERROR(__xludf.DUMMYFUNCTION("IMPORTRANGE(""https://docs.google.com/spreadsheets/d/11923uPwbBZFjjGgGUA6NLw09EwE0CqkOc4q9oUmW1yo/edit?usp=sharing"",""เพชรบูรณ์!L448"")"),0)</f>
        <v>0</v>
      </c>
      <c r="M553" s="165"/>
      <c r="N553" s="168">
        <f ca="1">IFERROR(__xludf.DUMMYFUNCTION("IMPORTRANGE(""https://docs.google.com/spreadsheets/d/11923uPwbBZFjjGgGUA6NLw09EwE0CqkOc4q9oUmW1yo/edit?usp=sharing"",""เพชรบูรณ์!M448"")"),0)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IFERROR(__xludf.DUMMYFUNCTION("IMPORTRANGE(""https://docs.google.com/spreadsheets/d/11923uPwbBZFjjGgGUA6NLw09EwE0CqkOc4q9oUmW1yo/edit?usp=sharing"",""เพชรบูรณ์!L449"")"),0)</f>
        <v>0</v>
      </c>
      <c r="M554" s="168"/>
      <c r="N554" s="168">
        <f ca="1">IFERROR(__xludf.DUMMYFUNCTION("IMPORTRANGE(""https://docs.google.com/spreadsheets/d/11923uPwbBZFjjGgGUA6NLw09EwE0CqkOc4q9oUmW1yo/edit?usp=sharing"",""เพชรบูรณ์!M449"")"),0)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IFERROR(__xludf.DUMMYFUNCTION("IMPORTRANGE(""https://docs.google.com/spreadsheets/d/11923uPwbBZFjjGgGUA6NLw09EwE0CqkOc4q9oUmW1yo/edit?usp=sharing"",""เพชรบูรณ์!L450"")"),0)</f>
        <v>0</v>
      </c>
      <c r="M555" s="168"/>
      <c r="N555" s="168">
        <f ca="1">IFERROR(__xludf.DUMMYFUNCTION("IMPORTRANGE(""https://docs.google.com/spreadsheets/d/11923uPwbBZFjjGgGUA6NLw09EwE0CqkOc4q9oUmW1yo/edit?usp=sharing"",""เพชรบูรณ์!M450"")"),0)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IFERROR(__xludf.DUMMYFUNCTION("IMPORTRANGE(""https://docs.google.com/spreadsheets/d/11923uPwbBZFjjGgGUA6NLw09EwE0CqkOc4q9oUmW1yo/edit?usp=sharing"",""เพชรบูรณ์!M451"")"),0)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IFERROR(__xludf.DUMMYFUNCTION("IMPORTRANGE(""https://docs.google.com/spreadsheets/d/11923uPwbBZFjjGgGUA6NLw09EwE0CqkOc4q9oUmW1yo/edit?usp=sharing"",""เพชรบูรณ์!M452"")"),0)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IFERROR(__xludf.DUMMYFUNCTION("IMPORTRANGE(""https://docs.google.com/spreadsheets/d/11923uPwbBZFjjGgGUA6NLw09EwE0CqkOc4q9oUmW1yo/edit?usp=sharing"",""เพชรบูรณ์!M453"")"),0)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IFERROR(__xludf.DUMMYFUNCTION("IMPORTRANGE(""https://docs.google.com/spreadsheets/d/11923uPwbBZFjjGgGUA6NLw09EwE0CqkOc4q9oUmW1yo/edit?usp=sharing"",""เพชรบูรณ์!M454"")"),0)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IFERROR(__xludf.DUMMYFUNCTION("IMPORTRANGE(""https://docs.google.com/spreadsheets/d/11923uPwbBZFjjGgGUA6NLw09EwE0CqkOc4q9oUmW1yo/edit?usp=sharing"",""เพชรบูรณ์!I455"")"),0)</f>
        <v>0</v>
      </c>
      <c r="J560" s="162">
        <f ca="1">IFERROR(__xludf.DUMMYFUNCTION("IMPORTRANGE(""https://docs.google.com/spreadsheets/d/11923uPwbBZFjjGgGUA6NLw09EwE0CqkOc4q9oUmW1yo/edit?usp=sharing"",""เพชรบูรณ์!J455"")"),0)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IFERROR(__xludf.DUMMYFUNCTION("IMPORTRANGE(""https://docs.google.com/spreadsheets/d/11923uPwbBZFjjGgGUA6NLw09EwE0CqkOc4q9oUmW1yo/edit?usp=sharing"",""เพชรบูรณ์!I456"")"),0)</f>
        <v>0</v>
      </c>
      <c r="J561" s="203">
        <f ca="1">IFERROR(__xludf.DUMMYFUNCTION("IMPORTRANGE(""https://docs.google.com/spreadsheets/d/11923uPwbBZFjjGgGUA6NLw09EwE0CqkOc4q9oUmW1yo/edit?usp=sharing"",""เพชรบูรณ์!J456"")"),0)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IFERROR(__xludf.DUMMYFUNCTION("IMPORTRANGE(""https://docs.google.com/spreadsheets/d/11923uPwbBZFjjGgGUA6NLw09EwE0CqkOc4q9oUmW1yo/edit?usp=sharing"",""เพชรบูรณ์!I459"")"),3850)</f>
        <v>3850</v>
      </c>
      <c r="J564" s="370">
        <f ca="1">IFERROR(__xludf.DUMMYFUNCTION("IMPORTRANGE(""https://docs.google.com/spreadsheets/d/11923uPwbBZFjjGgGUA6NLw09EwE0CqkOc4q9oUmW1yo/edit?usp=sharing"",""เพชรบูรณ์!J459"")"),7511)</f>
        <v>7511</v>
      </c>
      <c r="K564" s="371">
        <f ca="1">IF(I564&gt;0,J564*100/I564,0)</f>
        <v>195.09090909090909</v>
      </c>
      <c r="L564" s="372">
        <f ca="1">IFERROR(__xludf.DUMMYFUNCTION("IMPORTRANGE(""https://docs.google.com/spreadsheets/d/11923uPwbBZFjjGgGUA6NLw09EwE0CqkOc4q9oUmW1yo/edit?usp=sharing"",""เพชรบูรณ์!L459"")"),157200)</f>
        <v>157200</v>
      </c>
      <c r="M564" s="372"/>
      <c r="N564" s="372">
        <f ca="1">IFERROR(__xludf.DUMMYFUNCTION("IMPORTRANGE(""https://docs.google.com/spreadsheets/d/11923uPwbBZFjjGgGUA6NLw09EwE0CqkOc4q9oUmW1yo/edit?usp=sharing"",""เพชรบูรณ์!M459"")"),111187.459999999)</f>
        <v>111187.459999999</v>
      </c>
      <c r="O564" s="372">
        <f t="shared" ref="O564:O568" ca="1" si="122">+IF(L564&gt;0,N564*100/L564,0)</f>
        <v>70.729936386767804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IFERROR(__xludf.DUMMYFUNCTION("IMPORTRANGE(""https://docs.google.com/spreadsheets/d/11923uPwbBZFjjGgGUA6NLw09EwE0CqkOc4q9oUmW1yo/edit?usp=sharing"",""เพชรบูรณ์!L460"")"),0)</f>
        <v>0</v>
      </c>
      <c r="M565" s="164"/>
      <c r="N565" s="168">
        <f ca="1">IFERROR(__xludf.DUMMYFUNCTION("IMPORTRANGE(""https://docs.google.com/spreadsheets/d/11923uPwbBZFjjGgGUA6NLw09EwE0CqkOc4q9oUmW1yo/edit?usp=sharing"",""เพชรบูรณ์!M460"")"),0)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IFERROR(__xludf.DUMMYFUNCTION("IMPORTRANGE(""https://docs.google.com/spreadsheets/d/11923uPwbBZFjjGgGUA6NLw09EwE0CqkOc4q9oUmW1yo/edit?usp=sharing"",""เพชรบูรณ์!L461"")"),157200)</f>
        <v>157200</v>
      </c>
      <c r="M566" s="165"/>
      <c r="N566" s="168">
        <f ca="1">IFERROR(__xludf.DUMMYFUNCTION("IMPORTRANGE(""https://docs.google.com/spreadsheets/d/11923uPwbBZFjjGgGUA6NLw09EwE0CqkOc4q9oUmW1yo/edit?usp=sharing"",""เพชรบูรณ์!M461"")"),111187.459999999)</f>
        <v>111187.459999999</v>
      </c>
      <c r="O566" s="168">
        <f t="shared" ca="1" si="122"/>
        <v>70.729936386767804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IFERROR(__xludf.DUMMYFUNCTION("IMPORTRANGE(""https://docs.google.com/spreadsheets/d/11923uPwbBZFjjGgGUA6NLw09EwE0CqkOc4q9oUmW1yo/edit?usp=sharing"",""เพชรบูรณ์!L462"")"),0)</f>
        <v>0</v>
      </c>
      <c r="M567" s="168"/>
      <c r="N567" s="168">
        <f ca="1">IFERROR(__xludf.DUMMYFUNCTION("IMPORTRANGE(""https://docs.google.com/spreadsheets/d/11923uPwbBZFjjGgGUA6NLw09EwE0CqkOc4q9oUmW1yo/edit?usp=sharing"",""เพชรบูรณ์!M462"")"),0)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IFERROR(__xludf.DUMMYFUNCTION("IMPORTRANGE(""https://docs.google.com/spreadsheets/d/11923uPwbBZFjjGgGUA6NLw09EwE0CqkOc4q9oUmW1yo/edit?usp=sharing"",""เพชรบูรณ์!L463"")"),157200)</f>
        <v>157200</v>
      </c>
      <c r="M568" s="168"/>
      <c r="N568" s="168">
        <f ca="1">IFERROR(__xludf.DUMMYFUNCTION("IMPORTRANGE(""https://docs.google.com/spreadsheets/d/11923uPwbBZFjjGgGUA6NLw09EwE0CqkOc4q9oUmW1yo/edit?usp=sharing"",""เพชรบูรณ์!M463"")"),111187.459999999)</f>
        <v>111187.459999999</v>
      </c>
      <c r="O568" s="168">
        <f t="shared" ca="1" si="122"/>
        <v>70.729936386767804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IFERROR(__xludf.DUMMYFUNCTION("IMPORTRANGE(""https://docs.google.com/spreadsheets/d/11923uPwbBZFjjGgGUA6NLw09EwE0CqkOc4q9oUmW1yo/edit?usp=sharing"",""เพชรบูรณ์!M464"")"),0)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IFERROR(__xludf.DUMMYFUNCTION("IMPORTRANGE(""https://docs.google.com/spreadsheets/d/11923uPwbBZFjjGgGUA6NLw09EwE0CqkOc4q9oUmW1yo/edit?usp=sharing"",""เพชรบูรณ์!M465"")"),0)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IFERROR(__xludf.DUMMYFUNCTION("IMPORTRANGE(""https://docs.google.com/spreadsheets/d/11923uPwbBZFjjGgGUA6NLw09EwE0CqkOc4q9oUmW1yo/edit?usp=sharing"",""เพชรบูรณ์!M466"")"),83914)</f>
        <v>83914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IFERROR(__xludf.DUMMYFUNCTION("IMPORTRANGE(""https://docs.google.com/spreadsheets/d/11923uPwbBZFjjGgGUA6NLw09EwE0CqkOc4q9oUmW1yo/edit?usp=sharing"",""เพชรบูรณ์!M467"")"),27273.46)</f>
        <v>27273.46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IFERROR(__xludf.DUMMYFUNCTION("IMPORTRANGE(""https://docs.google.com/spreadsheets/d/11923uPwbBZFjjGgGUA6NLw09EwE0CqkOc4q9oUmW1yo/edit?usp=sharing"",""เพชรบูรณ์!I468"")"),3850)</f>
        <v>3850</v>
      </c>
      <c r="J573" s="420">
        <f ca="1">IFERROR(__xludf.DUMMYFUNCTION("IMPORTRANGE(""https://docs.google.com/spreadsheets/d/11923uPwbBZFjjGgGUA6NLw09EwE0CqkOc4q9oUmW1yo/edit?usp=sharing"",""เพชรบูรณ์!J468"")"),7511)</f>
        <v>7511</v>
      </c>
      <c r="K573" s="201">
        <f ca="1">IF(I573&gt;0,J573*100/I573,0)</f>
        <v>195.09090909090909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IFERROR(__xludf.DUMMYFUNCTION("IMPORTRANGE(""https://docs.google.com/spreadsheets/d/11923uPwbBZFjjGgGUA6NLw09EwE0CqkOc4q9oUmW1yo/edit?usp=sharing"",""เพชรบูรณ์!I470"")"),0)</f>
        <v>0</v>
      </c>
      <c r="J575" s="197">
        <f ca="1">IFERROR(__xludf.DUMMYFUNCTION("IMPORTRANGE(""https://docs.google.com/spreadsheets/d/11923uPwbBZFjjGgGUA6NLw09EwE0CqkOc4q9oUmW1yo/edit?usp=sharing"",""เพชรบูรณ์!J470"")"),5)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IFERROR(__xludf.DUMMYFUNCTION("IMPORTRANGE(""https://docs.google.com/spreadsheets/d/11923uPwbBZFjjGgGUA6NLw09EwE0CqkOc4q9oUmW1yo/edit?usp=sharing"",""เพชรบูรณ์!I471"")"),0)</f>
        <v>0</v>
      </c>
      <c r="J576" s="197">
        <f ca="1">IFERROR(__xludf.DUMMYFUNCTION("IMPORTRANGE(""https://docs.google.com/spreadsheets/d/11923uPwbBZFjjGgGUA6NLw09EwE0CqkOc4q9oUmW1yo/edit?usp=sharing"",""เพชรบูรณ์!J471"")"),638)</f>
        <v>638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IFERROR(__xludf.DUMMYFUNCTION("IMPORTRANGE(""https://docs.google.com/spreadsheets/d/11923uPwbBZFjjGgGUA6NLw09EwE0CqkOc4q9oUmW1yo/edit?usp=sharing"",""เพชรบูรณ์!I472"")"),0)</f>
        <v>0</v>
      </c>
      <c r="J577" s="188">
        <f ca="1">IFERROR(__xludf.DUMMYFUNCTION("IMPORTRANGE(""https://docs.google.com/spreadsheets/d/11923uPwbBZFjjGgGUA6NLw09EwE0CqkOc4q9oUmW1yo/edit?usp=sharing"",""เพชรบูรณ์!J472"")"),6742)</f>
        <v>6742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IFERROR(__xludf.DUMMYFUNCTION("IMPORTRANGE(""https://docs.google.com/spreadsheets/d/11923uPwbBZFjjGgGUA6NLw09EwE0CqkOc4q9oUmW1yo/edit?usp=sharing"",""เพชรบูรณ์!I473"")"),0)</f>
        <v>0</v>
      </c>
      <c r="J578" s="197">
        <f ca="1">IFERROR(__xludf.DUMMYFUNCTION("IMPORTRANGE(""https://docs.google.com/spreadsheets/d/11923uPwbBZFjjGgGUA6NLw09EwE0CqkOc4q9oUmW1yo/edit?usp=sharing"",""เพชรบูรณ์!J473"")"),35)</f>
        <v>35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IFERROR(__xludf.DUMMYFUNCTION("IMPORTRANGE(""https://docs.google.com/spreadsheets/d/11923uPwbBZFjjGgGUA6NLw09EwE0CqkOc4q9oUmW1yo/edit?usp=sharing"",""เพชรบูรณ์!I474"")"),0)</f>
        <v>0</v>
      </c>
      <c r="J579" s="197">
        <f ca="1">IFERROR(__xludf.DUMMYFUNCTION("IMPORTRANGE(""https://docs.google.com/spreadsheets/d/11923uPwbBZFjjGgGUA6NLw09EwE0CqkOc4q9oUmW1yo/edit?usp=sharing"",""เพชรบูรณ์!J474"")"),96)</f>
        <v>96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IFERROR(__xludf.DUMMYFUNCTION("IMPORTRANGE(""https://docs.google.com/spreadsheets/d/11923uPwbBZFjjGgGUA6NLw09EwE0CqkOc4q9oUmW1yo/edit?usp=sharing"",""เพชรบูรณ์!I475"")"),300)</f>
        <v>300</v>
      </c>
      <c r="J580" s="370">
        <f ca="1">IFERROR(__xludf.DUMMYFUNCTION("IMPORTRANGE(""https://docs.google.com/spreadsheets/d/11923uPwbBZFjjGgGUA6NLw09EwE0CqkOc4q9oUmW1yo/edit?usp=sharing"",""เพชรบูรณ์!J475"")"),37)</f>
        <v>37</v>
      </c>
      <c r="K580" s="371">
        <f ca="1">IF(I580&gt;0,J580*100/I580,0)</f>
        <v>12.333333333333334</v>
      </c>
      <c r="L580" s="372">
        <f ca="1">IFERROR(__xludf.DUMMYFUNCTION("IMPORTRANGE(""https://docs.google.com/spreadsheets/d/11923uPwbBZFjjGgGUA6NLw09EwE0CqkOc4q9oUmW1yo/edit?usp=sharing"",""เพชรบูรณ์!L475"")"),346950)</f>
        <v>346950</v>
      </c>
      <c r="M580" s="372"/>
      <c r="N580" s="372">
        <f ca="1">IFERROR(__xludf.DUMMYFUNCTION("IMPORTRANGE(""https://docs.google.com/spreadsheets/d/11923uPwbBZFjjGgGUA6NLw09EwE0CqkOc4q9oUmW1yo/edit?usp=sharing"",""เพชรบูรณ์!M475"")"),212162)</f>
        <v>212162</v>
      </c>
      <c r="O580" s="372">
        <f t="shared" ref="O580:O584" ca="1" si="124">+IF(L580&gt;0,N580*100/L580,0)</f>
        <v>61.150598068886005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IFERROR(__xludf.DUMMYFUNCTION("IMPORTRANGE(""https://docs.google.com/spreadsheets/d/11923uPwbBZFjjGgGUA6NLw09EwE0CqkOc4q9oUmW1yo/edit?usp=sharing"",""เพชรบูรณ์!L476"")"),0)</f>
        <v>0</v>
      </c>
      <c r="M581" s="164"/>
      <c r="N581" s="168">
        <f ca="1">IFERROR(__xludf.DUMMYFUNCTION("IMPORTRANGE(""https://docs.google.com/spreadsheets/d/11923uPwbBZFjjGgGUA6NLw09EwE0CqkOc4q9oUmW1yo/edit?usp=sharing"",""เพชรบูรณ์!M476"")"),0)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IFERROR(__xludf.DUMMYFUNCTION("IMPORTRANGE(""https://docs.google.com/spreadsheets/d/11923uPwbBZFjjGgGUA6NLw09EwE0CqkOc4q9oUmW1yo/edit?usp=sharing"",""เพชรบูรณ์!L477"")"),346950)</f>
        <v>346950</v>
      </c>
      <c r="M582" s="165"/>
      <c r="N582" s="168">
        <f ca="1">IFERROR(__xludf.DUMMYFUNCTION("IMPORTRANGE(""https://docs.google.com/spreadsheets/d/11923uPwbBZFjjGgGUA6NLw09EwE0CqkOc4q9oUmW1yo/edit?usp=sharing"",""เพชรบูรณ์!M477"")"),212162)</f>
        <v>212162</v>
      </c>
      <c r="O582" s="168">
        <f t="shared" ca="1" si="124"/>
        <v>61.150598068886005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IFERROR(__xludf.DUMMYFUNCTION("IMPORTRANGE(""https://docs.google.com/spreadsheets/d/11923uPwbBZFjjGgGUA6NLw09EwE0CqkOc4q9oUmW1yo/edit?usp=sharing"",""เพชรบูรณ์!L478"")"),0)</f>
        <v>0</v>
      </c>
      <c r="M583" s="168"/>
      <c r="N583" s="168">
        <f ca="1">IFERROR(__xludf.DUMMYFUNCTION("IMPORTRANGE(""https://docs.google.com/spreadsheets/d/11923uPwbBZFjjGgGUA6NLw09EwE0CqkOc4q9oUmW1yo/edit?usp=sharing"",""เพชรบูรณ์!M478"")"),0)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IFERROR(__xludf.DUMMYFUNCTION("IMPORTRANGE(""https://docs.google.com/spreadsheets/d/11923uPwbBZFjjGgGUA6NLw09EwE0CqkOc4q9oUmW1yo/edit?usp=sharing"",""เพชรบูรณ์!L479"")"),346950)</f>
        <v>346950</v>
      </c>
      <c r="M584" s="168"/>
      <c r="N584" s="168">
        <f ca="1">IFERROR(__xludf.DUMMYFUNCTION("IMPORTRANGE(""https://docs.google.com/spreadsheets/d/11923uPwbBZFjjGgGUA6NLw09EwE0CqkOc4q9oUmW1yo/edit?usp=sharing"",""เพชรบูรณ์!M479"")"),212162)</f>
        <v>212162</v>
      </c>
      <c r="O584" s="168">
        <f t="shared" ca="1" si="124"/>
        <v>61.150598068886005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IFERROR(__xludf.DUMMYFUNCTION("IMPORTRANGE(""https://docs.google.com/spreadsheets/d/11923uPwbBZFjjGgGUA6NLw09EwE0CqkOc4q9oUmW1yo/edit?usp=sharing"",""เพชรบูรณ์!M480"")"),0)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IFERROR(__xludf.DUMMYFUNCTION("IMPORTRANGE(""https://docs.google.com/spreadsheets/d/11923uPwbBZFjjGgGUA6NLw09EwE0CqkOc4q9oUmW1yo/edit?usp=sharing"",""เพชรบูรณ์!M481"")"),0)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IFERROR(__xludf.DUMMYFUNCTION("IMPORTRANGE(""https://docs.google.com/spreadsheets/d/11923uPwbBZFjjGgGUA6NLw09EwE0CqkOc4q9oUmW1yo/edit?usp=sharing"",""เพชรบูรณ์!M482"")"),70026)</f>
        <v>70026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IFERROR(__xludf.DUMMYFUNCTION("IMPORTRANGE(""https://docs.google.com/spreadsheets/d/11923uPwbBZFjjGgGUA6NLw09EwE0CqkOc4q9oUmW1yo/edit?usp=sharing"",""เพชรบูรณ์!M483"")"),142136)</f>
        <v>142136</v>
      </c>
      <c r="O588" s="168"/>
      <c r="P588" s="168"/>
    </row>
    <row r="589" spans="1:16" ht="21.75" customHeight="1" x14ac:dyDescent="0.3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IFERROR(__xludf.DUMMYFUNCTION("IMPORTRANGE(""https://docs.google.com/spreadsheets/d/11923uPwbBZFjjGgGUA6NLw09EwE0CqkOc4q9oUmW1yo/edit?usp=sharing"",""เพชรบูรณ์!I484"")"),300)</f>
        <v>300</v>
      </c>
      <c r="J589" s="187">
        <f ca="1">IFERROR(__xludf.DUMMYFUNCTION("IMPORTRANGE(""https://docs.google.com/spreadsheets/d/11923uPwbBZFjjGgGUA6NLw09EwE0CqkOc4q9oUmW1yo/edit?usp=sharing"",""เพชรบูรณ์!J484"")"),169)</f>
        <v>169</v>
      </c>
      <c r="K589" s="163">
        <f t="shared" ref="K589:K596" ca="1" si="125">IF(I589&gt;0,J589*100/I589,0)</f>
        <v>56.333333333333336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IFERROR(__xludf.DUMMYFUNCTION("IMPORTRANGE(""https://docs.google.com/spreadsheets/d/11923uPwbBZFjjGgGUA6NLw09EwE0CqkOc4q9oUmW1yo/edit?usp=sharing"",""เพชรบูรณ์!I485"")"),0)</f>
        <v>0</v>
      </c>
      <c r="J590" s="187">
        <f ca="1">IFERROR(__xludf.DUMMYFUNCTION("IMPORTRANGE(""https://docs.google.com/spreadsheets/d/11923uPwbBZFjjGgGUA6NLw09EwE0CqkOc4q9oUmW1yo/edit?usp=sharing"",""เพชรบูรณ์!J485"")"),107)</f>
        <v>107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IFERROR(__xludf.DUMMYFUNCTION("IMPORTRANGE(""https://docs.google.com/spreadsheets/d/11923uPwbBZFjjGgGUA6NLw09EwE0CqkOc4q9oUmW1yo/edit?usp=sharing"",""เพชรบูรณ์!I486"")"),300)</f>
        <v>300</v>
      </c>
      <c r="J591" s="187">
        <f ca="1">IFERROR(__xludf.DUMMYFUNCTION("IMPORTRANGE(""https://docs.google.com/spreadsheets/d/11923uPwbBZFjjGgGUA6NLw09EwE0CqkOc4q9oUmW1yo/edit?usp=sharing"",""เพชรบูรณ์!J486"")"),163)</f>
        <v>163</v>
      </c>
      <c r="K591" s="163">
        <f t="shared" ca="1" si="125"/>
        <v>54.333333333333336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IFERROR(__xludf.DUMMYFUNCTION("IMPORTRANGE(""https://docs.google.com/spreadsheets/d/11923uPwbBZFjjGgGUA6NLw09EwE0CqkOc4q9oUmW1yo/edit?usp=sharing"",""เพชรบูรณ์!I487"")"),0)</f>
        <v>0</v>
      </c>
      <c r="J592" s="187">
        <f ca="1">IFERROR(__xludf.DUMMYFUNCTION("IMPORTRANGE(""https://docs.google.com/spreadsheets/d/11923uPwbBZFjjGgGUA6NLw09EwE0CqkOc4q9oUmW1yo/edit?usp=sharing"",""เพชรบูรณ์!J487"")"),85.87)</f>
        <v>85.87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IFERROR(__xludf.DUMMYFUNCTION("IMPORTRANGE(""https://docs.google.com/spreadsheets/d/11923uPwbBZFjjGgGUA6NLw09EwE0CqkOc4q9oUmW1yo/edit?usp=sharing"",""เพชรบูรณ์!I488"")"),300)</f>
        <v>300</v>
      </c>
      <c r="J593" s="187">
        <f ca="1">IFERROR(__xludf.DUMMYFUNCTION("IMPORTRANGE(""https://docs.google.com/spreadsheets/d/11923uPwbBZFjjGgGUA6NLw09EwE0CqkOc4q9oUmW1yo/edit?usp=sharing"",""เพชรบูรณ์!J488"")"),0)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IFERROR(__xludf.DUMMYFUNCTION("IMPORTRANGE(""https://docs.google.com/spreadsheets/d/11923uPwbBZFjjGgGUA6NLw09EwE0CqkOc4q9oUmW1yo/edit?usp=sharing"",""เพชรบูรณ์!I489"")"),0)</f>
        <v>0</v>
      </c>
      <c r="J594" s="187">
        <f ca="1">IFERROR(__xludf.DUMMYFUNCTION("IMPORTRANGE(""https://docs.google.com/spreadsheets/d/11923uPwbBZFjjGgGUA6NLw09EwE0CqkOc4q9oUmW1yo/edit?usp=sharing"",""เพชรบูรณ์!J489"")"),0)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IFERROR(__xludf.DUMMYFUNCTION("IMPORTRANGE(""https://docs.google.com/spreadsheets/d/11923uPwbBZFjjGgGUA6NLw09EwE0CqkOc4q9oUmW1yo/edit?usp=sharing"",""เพชรบูรณ์!I490"")"),300)</f>
        <v>300</v>
      </c>
      <c r="J595" s="187">
        <f ca="1">IFERROR(__xludf.DUMMYFUNCTION("IMPORTRANGE(""https://docs.google.com/spreadsheets/d/11923uPwbBZFjjGgGUA6NLw09EwE0CqkOc4q9oUmW1yo/edit?usp=sharing"",""เพชรบูรณ์!J490"")"),37)</f>
        <v>37</v>
      </c>
      <c r="K595" s="163">
        <f t="shared" ca="1" si="125"/>
        <v>12.333333333333334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IFERROR(__xludf.DUMMYFUNCTION("IMPORTRANGE(""https://docs.google.com/spreadsheets/d/11923uPwbBZFjjGgGUA6NLw09EwE0CqkOc4q9oUmW1yo/edit?usp=sharing"",""เพชรบูรณ์!I491"")"),0)</f>
        <v>0</v>
      </c>
      <c r="J596" s="241">
        <f ca="1">IFERROR(__xludf.DUMMYFUNCTION("IMPORTRANGE(""https://docs.google.com/spreadsheets/d/11923uPwbBZFjjGgGUA6NLw09EwE0CqkOc4q9oUmW1yo/edit?usp=sharing"",""เพชรบูรณ์!J491"")"),22.07)</f>
        <v>22.07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IFERROR(__xludf.DUMMYFUNCTION("IMPORTRANGE(""https://docs.google.com/spreadsheets/d/11923uPwbBZFjjGgGUA6NLw09EwE0CqkOc4q9oUmW1yo/edit?usp=sharing"",""เพชรบูรณ์!I492"")"),100)</f>
        <v>100</v>
      </c>
      <c r="J597" s="487">
        <f ca="1">IFERROR(__xludf.DUMMYFUNCTION("IMPORTRANGE(""https://docs.google.com/spreadsheets/d/11923uPwbBZFjjGgGUA6NLw09EwE0CqkOc4q9oUmW1yo/edit?usp=sharing"",""เพชรบูรณ์!J492"")"),0)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IFERROR(__xludf.DUMMYFUNCTION("IMPORTRANGE(""https://docs.google.com/spreadsheets/d/11923uPwbBZFjjGgGUA6NLw09EwE0CqkOc4q9oUmW1yo/edit?usp=sharing"",""เพชรบูรณ์!L492"")"),7300)</f>
        <v>7300</v>
      </c>
      <c r="M597" s="411"/>
      <c r="N597" s="411">
        <f ca="1">IFERROR(__xludf.DUMMYFUNCTION("IMPORTRANGE(""https://docs.google.com/spreadsheets/d/11923uPwbBZFjjGgGUA6NLw09EwE0CqkOc4q9oUmW1yo/edit?usp=sharing"",""เพชรบูรณ์!M492"")"),450)</f>
        <v>450</v>
      </c>
      <c r="O597" s="411">
        <f t="shared" ref="O597:O601" ca="1" si="126">+IF(L597&gt;0,N597*100/L597,0)</f>
        <v>6.1643835616438354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IFERROR(__xludf.DUMMYFUNCTION("IMPORTRANGE(""https://docs.google.com/spreadsheets/d/11923uPwbBZFjjGgGUA6NLw09EwE0CqkOc4q9oUmW1yo/edit?usp=sharing"",""เพชรบูรณ์!L493"")"),0)</f>
        <v>0</v>
      </c>
      <c r="M598" s="164"/>
      <c r="N598" s="168">
        <f ca="1">IFERROR(__xludf.DUMMYFUNCTION("IMPORTRANGE(""https://docs.google.com/spreadsheets/d/11923uPwbBZFjjGgGUA6NLw09EwE0CqkOc4q9oUmW1yo/edit?usp=sharing"",""เพชรบูรณ์!M493"")"),0)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IFERROR(__xludf.DUMMYFUNCTION("IMPORTRANGE(""https://docs.google.com/spreadsheets/d/11923uPwbBZFjjGgGUA6NLw09EwE0CqkOc4q9oUmW1yo/edit?usp=sharing"",""เพชรบูรณ์!L494"")"),7300)</f>
        <v>7300</v>
      </c>
      <c r="M599" s="165"/>
      <c r="N599" s="168">
        <f ca="1">IFERROR(__xludf.DUMMYFUNCTION("IMPORTRANGE(""https://docs.google.com/spreadsheets/d/11923uPwbBZFjjGgGUA6NLw09EwE0CqkOc4q9oUmW1yo/edit?usp=sharing"",""เพชรบูรณ์!M494"")"),450)</f>
        <v>450</v>
      </c>
      <c r="O599" s="168">
        <f t="shared" ca="1" si="126"/>
        <v>6.1643835616438354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IFERROR(__xludf.DUMMYFUNCTION("IMPORTRANGE(""https://docs.google.com/spreadsheets/d/11923uPwbBZFjjGgGUA6NLw09EwE0CqkOc4q9oUmW1yo/edit?usp=sharing"",""เพชรบูรณ์!L495"")"),0)</f>
        <v>0</v>
      </c>
      <c r="M600" s="168"/>
      <c r="N600" s="168">
        <f ca="1">IFERROR(__xludf.DUMMYFUNCTION("IMPORTRANGE(""https://docs.google.com/spreadsheets/d/11923uPwbBZFjjGgGUA6NLw09EwE0CqkOc4q9oUmW1yo/edit?usp=sharing"",""เพชรบูรณ์!M495"")"),0)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IFERROR(__xludf.DUMMYFUNCTION("IMPORTRANGE(""https://docs.google.com/spreadsheets/d/11923uPwbBZFjjGgGUA6NLw09EwE0CqkOc4q9oUmW1yo/edit?usp=sharing"",""เพชรบูรณ์!L496"")"),7300)</f>
        <v>7300</v>
      </c>
      <c r="M601" s="168"/>
      <c r="N601" s="168">
        <f ca="1">IFERROR(__xludf.DUMMYFUNCTION("IMPORTRANGE(""https://docs.google.com/spreadsheets/d/11923uPwbBZFjjGgGUA6NLw09EwE0CqkOc4q9oUmW1yo/edit?usp=sharing"",""เพชรบูรณ์!M496"")"),450)</f>
        <v>450</v>
      </c>
      <c r="O601" s="168">
        <f t="shared" ca="1" si="126"/>
        <v>6.1643835616438354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IFERROR(__xludf.DUMMYFUNCTION("IMPORTRANGE(""https://docs.google.com/spreadsheets/d/11923uPwbBZFjjGgGUA6NLw09EwE0CqkOc4q9oUmW1yo/edit?usp=sharing"",""เพชรบูรณ์!M497"")"),0)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IFERROR(__xludf.DUMMYFUNCTION("IMPORTRANGE(""https://docs.google.com/spreadsheets/d/11923uPwbBZFjjGgGUA6NLw09EwE0CqkOc4q9oUmW1yo/edit?usp=sharing"",""เพชรบูรณ์!M498"")"),0)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IFERROR(__xludf.DUMMYFUNCTION("IMPORTRANGE(""https://docs.google.com/spreadsheets/d/11923uPwbBZFjjGgGUA6NLw09EwE0CqkOc4q9oUmW1yo/edit?usp=sharing"",""เพชรบูรณ์!M499"")"),0)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IFERROR(__xludf.DUMMYFUNCTION("IMPORTRANGE(""https://docs.google.com/spreadsheets/d/11923uPwbBZFjjGgGUA6NLw09EwE0CqkOc4q9oUmW1yo/edit?usp=sharing"",""เพชรบูรณ์!M500"")"),450)</f>
        <v>450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IFERROR(__xludf.DUMMYFUNCTION("IMPORTRANGE(""https://docs.google.com/spreadsheets/d/11923uPwbBZFjjGgGUA6NLw09EwE0CqkOc4q9oUmW1yo/edit?usp=sharing"",""เพชรบูรณ์!J502"")"),0)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IFERROR(__xludf.DUMMYFUNCTION("IMPORTRANGE(""https://docs.google.com/spreadsheets/d/11923uPwbBZFjjGgGUA6NLw09EwE0CqkOc4q9oUmW1yo/edit?usp=sharing"",""เพชรบูรณ์!J503"")"),1)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IFERROR(__xludf.DUMMYFUNCTION("IMPORTRANGE(""https://docs.google.com/spreadsheets/d/11923uPwbBZFjjGgGUA6NLw09EwE0CqkOc4q9oUmW1yo/edit?usp=sharing"",""เพชรบูรณ์!J166"")"),0)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IFERROR(__xludf.DUMMYFUNCTION("IMPORTRANGE(""https://docs.google.com/spreadsheets/d/11923uPwbBZFjjGgGUA6NLw09EwE0CqkOc4q9oUmW1yo/edit?usp=sharing"",""เพชรบูรณ์!J166"")"),0)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IFERROR(__xludf.DUMMYFUNCTION("IMPORTRANGE(""https://docs.google.com/spreadsheets/d/11923uPwbBZFjjGgGUA6NLw09EwE0CqkOc4q9oUmW1yo/edit?usp=sharing"",""เพชรบูรณ์!I506"")"),100)</f>
        <v>100</v>
      </c>
      <c r="J611" s="162">
        <f ca="1">IFERROR(__xludf.DUMMYFUNCTION("IMPORTRANGE(""https://docs.google.com/spreadsheets/d/11923uPwbBZFjjGgGUA6NLw09EwE0CqkOc4q9oUmW1yo/edit?usp=sharing"",""เพชรบูรณ์!J506"")"),0)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IFERROR(__xludf.DUMMYFUNCTION("IMPORTRANGE(""https://docs.google.com/spreadsheets/d/11923uPwbBZFjjGgGUA6NLw09EwE0CqkOc4q9oUmW1yo/edit?usp=sharing"",""เพชรบูรณ์!I507"")"),0)</f>
        <v>0</v>
      </c>
      <c r="J612" s="197">
        <f ca="1">IFERROR(__xludf.DUMMYFUNCTION("IMPORTRANGE(""https://docs.google.com/spreadsheets/d/11923uPwbBZFjjGgGUA6NLw09EwE0CqkOc4q9oUmW1yo/edit?usp=sharing"",""เพชรบูรณ์!J507"")"),0)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IFERROR(__xludf.DUMMYFUNCTION("IMPORTRANGE(""https://docs.google.com/spreadsheets/d/11923uPwbBZFjjGgGUA6NLw09EwE0CqkOc4q9oUmW1yo/edit?usp=sharing"",""เพชรบูรณ์!I508"")"),0)</f>
        <v>0</v>
      </c>
      <c r="J613" s="197">
        <f ca="1">IFERROR(__xludf.DUMMYFUNCTION("IMPORTRANGE(""https://docs.google.com/spreadsheets/d/11923uPwbBZFjjGgGUA6NLw09EwE0CqkOc4q9oUmW1yo/edit?usp=sharing"",""เพชรบูรณ์!J508"")"),0)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IFERROR(__xludf.DUMMYFUNCTION("IMPORTRANGE(""https://docs.google.com/spreadsheets/d/11923uPwbBZFjjGgGUA6NLw09EwE0CqkOc4q9oUmW1yo/edit?usp=sharing"",""เพชรบูรณ์!I509"")"),0)</f>
        <v>0</v>
      </c>
      <c r="J614" s="197">
        <f ca="1">IFERROR(__xludf.DUMMYFUNCTION("IMPORTRANGE(""https://docs.google.com/spreadsheets/d/11923uPwbBZFjjGgGUA6NLw09EwE0CqkOc4q9oUmW1yo/edit?usp=sharing"",""เพชรบูรณ์!J509"")"),0)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IFERROR(__xludf.DUMMYFUNCTION("IMPORTRANGE(""https://docs.google.com/spreadsheets/d/11923uPwbBZFjjGgGUA6NLw09EwE0CqkOc4q9oUmW1yo/edit?usp=sharing"",""เพชรบูรณ์!I510"")"),0)</f>
        <v>0</v>
      </c>
      <c r="J615" s="197">
        <f ca="1">IFERROR(__xludf.DUMMYFUNCTION("IMPORTRANGE(""https://docs.google.com/spreadsheets/d/11923uPwbBZFjjGgGUA6NLw09EwE0CqkOc4q9oUmW1yo/edit?usp=sharing"",""เพชรบูรณ์!J510"")"),0)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IFERROR(__xludf.DUMMYFUNCTION("IMPORTRANGE(""https://docs.google.com/spreadsheets/d/11923uPwbBZFjjGgGUA6NLw09EwE0CqkOc4q9oUmW1yo/edit?usp=sharing"",""เพชรบูรณ์!I511"")"),0)</f>
        <v>0</v>
      </c>
      <c r="J616" s="197">
        <f ca="1">IFERROR(__xludf.DUMMYFUNCTION("IMPORTRANGE(""https://docs.google.com/spreadsheets/d/11923uPwbBZFjjGgGUA6NLw09EwE0CqkOc4q9oUmW1yo/edit?usp=sharing"",""เพชรบูรณ์!J511"")"),0)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IFERROR(__xludf.DUMMYFUNCTION("IMPORTRANGE(""https://docs.google.com/spreadsheets/d/11923uPwbBZFjjGgGUA6NLw09EwE0CqkOc4q9oUmW1yo/edit?usp=sharing"",""เพชรบูรณ์!I512"")"),0)</f>
        <v>0</v>
      </c>
      <c r="J617" s="187">
        <f ca="1">IFERROR(__xludf.DUMMYFUNCTION("IMPORTRANGE(""https://docs.google.com/spreadsheets/d/11923uPwbBZFjjGgGUA6NLw09EwE0CqkOc4q9oUmW1yo/edit?usp=sharing"",""เพชรบูรณ์!J512"")"),0)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IFERROR(__xludf.DUMMYFUNCTION("IMPORTRANGE(""https://docs.google.com/spreadsheets/d/11923uPwbBZFjjGgGUA6NLw09EwE0CqkOc4q9oUmW1yo/edit?usp=sharing"",""เพชรบูรณ์!I513"")"),0)</f>
        <v>0</v>
      </c>
      <c r="J618" s="188">
        <f ca="1">IFERROR(__xludf.DUMMYFUNCTION("IMPORTRANGE(""https://docs.google.com/spreadsheets/d/11923uPwbBZFjjGgGUA6NLw09EwE0CqkOc4q9oUmW1yo/edit?usp=sharing"",""เพชรบูรณ์!J513"")"),0)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IFERROR(__xludf.DUMMYFUNCTION("IMPORTRANGE(""https://docs.google.com/spreadsheets/d/11923uPwbBZFjjGgGUA6NLw09EwE0CqkOc4q9oUmW1yo/edit?usp=sharing"",""เพชรบูรณ์!I514"")"),0)</f>
        <v>0</v>
      </c>
      <c r="J619" s="188">
        <f ca="1">IFERROR(__xludf.DUMMYFUNCTION("IMPORTRANGE(""https://docs.google.com/spreadsheets/d/11923uPwbBZFjjGgGUA6NLw09EwE0CqkOc4q9oUmW1yo/edit?usp=sharing"",""เพชรบูรณ์!J514"")"),0)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IFERROR(__xludf.DUMMYFUNCTION("IMPORTRANGE(""https://docs.google.com/spreadsheets/d/11923uPwbBZFjjGgGUA6NLw09EwE0CqkOc4q9oUmW1yo/edit?usp=sharing"",""เพชรบูรณ์!I515"")"),0)</f>
        <v>0</v>
      </c>
      <c r="J620" s="202">
        <f ca="1">IFERROR(__xludf.DUMMYFUNCTION("IMPORTRANGE(""https://docs.google.com/spreadsheets/d/11923uPwbBZFjjGgGUA6NLw09EwE0CqkOc4q9oUmW1yo/edit?usp=sharing"",""เพชรบูรณ์!J515"")"),0)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IFERROR(__xludf.DUMMYFUNCTION("IMPORTRANGE(""https://docs.google.com/spreadsheets/d/11923uPwbBZFjjGgGUA6NLw09EwE0CqkOc4q9oUmW1yo/edit?usp=sharing"",""เพชรบูรณ์!I516"")"),0)</f>
        <v>0</v>
      </c>
      <c r="J621" s="202">
        <f ca="1">IFERROR(__xludf.DUMMYFUNCTION("IMPORTRANGE(""https://docs.google.com/spreadsheets/d/11923uPwbBZFjjGgGUA6NLw09EwE0CqkOc4q9oUmW1yo/edit?usp=sharing"",""เพชรบูรณ์!J516"")"),0)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IFERROR(__xludf.DUMMYFUNCTION("IMPORTRANGE(""https://docs.google.com/spreadsheets/d/11923uPwbBZFjjGgGUA6NLw09EwE0CqkOc4q9oUmW1yo/edit?usp=sharing"",""เพชรบูรณ์!I517"")"),0)</f>
        <v>0</v>
      </c>
      <c r="J622" s="188">
        <f ca="1">IFERROR(__xludf.DUMMYFUNCTION("IMPORTRANGE(""https://docs.google.com/spreadsheets/d/11923uPwbBZFjjGgGUA6NLw09EwE0CqkOc4q9oUmW1yo/edit?usp=sharing"",""เพชรบูรณ์!J517"")"),0)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IFERROR(__xludf.DUMMYFUNCTION("IMPORTRANGE(""https://docs.google.com/spreadsheets/d/11923uPwbBZFjjGgGUA6NLw09EwE0CqkOc4q9oUmW1yo/edit?usp=sharing"",""เพชรบูรณ์!I518"")"),0)</f>
        <v>0</v>
      </c>
      <c r="J623" s="188">
        <f ca="1">IFERROR(__xludf.DUMMYFUNCTION("IMPORTRANGE(""https://docs.google.com/spreadsheets/d/11923uPwbBZFjjGgGUA6NLw09EwE0CqkOc4q9oUmW1yo/edit?usp=sharing"",""เพชรบูรณ์!J518"")"),0)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IFERROR(__xludf.DUMMYFUNCTION("IMPORTRANGE(""https://docs.google.com/spreadsheets/d/11923uPwbBZFjjGgGUA6NLw09EwE0CqkOc4q9oUmW1yo/edit?usp=sharing"",""เพชรบูรณ์!I519"")"),0)</f>
        <v>0</v>
      </c>
      <c r="J624" s="187">
        <f ca="1">IFERROR(__xludf.DUMMYFUNCTION("IMPORTRANGE(""https://docs.google.com/spreadsheets/d/11923uPwbBZFjjGgGUA6NLw09EwE0CqkOc4q9oUmW1yo/edit?usp=sharing"",""เพชรบูรณ์!J519"")"),0)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IFERROR(__xludf.DUMMYFUNCTION("IMPORTRANGE(""https://docs.google.com/spreadsheets/d/11923uPwbBZFjjGgGUA6NLw09EwE0CqkOc4q9oUmW1yo/edit?usp=sharing"",""เพชรบูรณ์!I520"")"),0)</f>
        <v>0</v>
      </c>
      <c r="J625" s="188">
        <f ca="1">IFERROR(__xludf.DUMMYFUNCTION("IMPORTRANGE(""https://docs.google.com/spreadsheets/d/11923uPwbBZFjjGgGUA6NLw09EwE0CqkOc4q9oUmW1yo/edit?usp=sharing"",""เพชรบูรณ์!J520"")"),0)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IFERROR(__xludf.DUMMYFUNCTION("IMPORTRANGE(""https://docs.google.com/spreadsheets/d/11923uPwbBZFjjGgGUA6NLw09EwE0CqkOc4q9oUmW1yo/edit?usp=sharing"",""เพชรบูรณ์!I521"")"),0)</f>
        <v>0</v>
      </c>
      <c r="J626" s="188">
        <f ca="1">IFERROR(__xludf.DUMMYFUNCTION("IMPORTRANGE(""https://docs.google.com/spreadsheets/d/11923uPwbBZFjjGgGUA6NLw09EwE0CqkOc4q9oUmW1yo/edit?usp=sharing"",""เพชรบูรณ์!J521"")"),0)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IFERROR(__xludf.DUMMYFUNCTION("IMPORTRANGE(""https://docs.google.com/spreadsheets/d/11923uPwbBZFjjGgGUA6NLw09EwE0CqkOc4q9oUmW1yo/edit?usp=sharing"",""เพชรบูรณ์!I523"")"),20013464.24)</f>
        <v>20013464.239999998</v>
      </c>
      <c r="J628" s="341">
        <f ca="1">IFERROR(__xludf.DUMMYFUNCTION("IMPORTRANGE(""https://docs.google.com/spreadsheets/d/11923uPwbBZFjjGgGUA6NLw09EwE0CqkOc4q9oUmW1yo/edit?usp=sharing"",""เพชรบูรณ์!J523"")"),7917592.77)</f>
        <v>7917592.7699999996</v>
      </c>
      <c r="K628" s="342">
        <f t="shared" ref="K628:K635" ca="1" si="129">IF(I628&gt;0,J628*100/I628,0)</f>
        <v>39.561330687445249</v>
      </c>
      <c r="L628" s="342"/>
      <c r="M628" s="342"/>
      <c r="N628" s="342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IFERROR(__xludf.DUMMYFUNCTION("IMPORTRANGE(""https://docs.google.com/spreadsheets/d/11923uPwbBZFjjGgGUA6NLw09EwE0CqkOc4q9oUmW1yo/edit?usp=sharing"",""เพชรบูรณ์!I524"")"),654)</f>
        <v>654</v>
      </c>
      <c r="J629" s="341">
        <f ca="1">IFERROR(__xludf.DUMMYFUNCTION("IMPORTRANGE(""https://docs.google.com/spreadsheets/d/11923uPwbBZFjjGgGUA6NLw09EwE0CqkOc4q9oUmW1yo/edit?usp=sharing"",""เพชรบูรณ์!J524"")"),234)</f>
        <v>234</v>
      </c>
      <c r="K629" s="342">
        <f t="shared" ca="1" si="129"/>
        <v>35.779816513761467</v>
      </c>
      <c r="L629" s="342"/>
      <c r="M629" s="342"/>
      <c r="N629" s="342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IFERROR(__xludf.DUMMYFUNCTION("IMPORTRANGE(""https://docs.google.com/spreadsheets/d/11923uPwbBZFjjGgGUA6NLw09EwE0CqkOc4q9oUmW1yo/edit?usp=sharing"",""เพชรบูรณ์!I525"")"),28025974.82)</f>
        <v>28025974.82</v>
      </c>
      <c r="J630" s="341">
        <f ca="1">IFERROR(__xludf.DUMMYFUNCTION("IMPORTRANGE(""https://docs.google.com/spreadsheets/d/11923uPwbBZFjjGgGUA6NLw09EwE0CqkOc4q9oUmW1yo/edit?usp=sharing"",""เพชรบูรณ์!J525"")"),733697.42)</f>
        <v>733697.42</v>
      </c>
      <c r="K630" s="342">
        <f t="shared" ca="1" si="129"/>
        <v>2.6179193577110333</v>
      </c>
      <c r="L630" s="342"/>
      <c r="M630" s="342"/>
      <c r="N630" s="342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IFERROR(__xludf.DUMMYFUNCTION("IMPORTRANGE(""https://docs.google.com/spreadsheets/d/11923uPwbBZFjjGgGUA6NLw09EwE0CqkOc4q9oUmW1yo/edit?usp=sharing"",""เพชรบูรณ์!I526"")"),1029)</f>
        <v>1029</v>
      </c>
      <c r="J631" s="341">
        <f ca="1">IFERROR(__xludf.DUMMYFUNCTION("IMPORTRANGE(""https://docs.google.com/spreadsheets/d/11923uPwbBZFjjGgGUA6NLw09EwE0CqkOc4q9oUmW1yo/edit?usp=sharing"",""เพชรบูรณ์!J526"")"),221)</f>
        <v>221</v>
      </c>
      <c r="K631" s="342">
        <f t="shared" ca="1" si="129"/>
        <v>21.477162293488824</v>
      </c>
      <c r="L631" s="342"/>
      <c r="M631" s="342"/>
      <c r="N631" s="342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IFERROR(__xludf.DUMMYFUNCTION("IMPORTRANGE(""https://docs.google.com/spreadsheets/d/11923uPwbBZFjjGgGUA6NLw09EwE0CqkOc4q9oUmW1yo/edit?usp=sharing"",""เพชรบูรณ์!I527"")"),2642317.88)</f>
        <v>2642317.88</v>
      </c>
      <c r="J632" s="341">
        <f ca="1">IFERROR(__xludf.DUMMYFUNCTION("IMPORTRANGE(""https://docs.google.com/spreadsheets/d/11923uPwbBZFjjGgGUA6NLw09EwE0CqkOc4q9oUmW1yo/edit?usp=sharing"",""เพชรบูรณ์!J527"")"),353930.27)</f>
        <v>353930.27</v>
      </c>
      <c r="K632" s="342">
        <f t="shared" ca="1" si="129"/>
        <v>13.394689286968001</v>
      </c>
      <c r="L632" s="342"/>
      <c r="M632" s="342"/>
      <c r="N632" s="342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IFERROR(__xludf.DUMMYFUNCTION("IMPORTRANGE(""https://docs.google.com/spreadsheets/d/11923uPwbBZFjjGgGUA6NLw09EwE0CqkOc4q9oUmW1yo/edit?usp=sharing"",""เพชรบูรณ์!I528"")"),133)</f>
        <v>133</v>
      </c>
      <c r="J633" s="341">
        <f ca="1">IFERROR(__xludf.DUMMYFUNCTION("IMPORTRANGE(""https://docs.google.com/spreadsheets/d/11923uPwbBZFjjGgGUA6NLw09EwE0CqkOc4q9oUmW1yo/edit?usp=sharing"",""เพชรบูรณ์!J528"")"),69)</f>
        <v>69</v>
      </c>
      <c r="K633" s="342">
        <f t="shared" ca="1" si="129"/>
        <v>51.879699248120303</v>
      </c>
      <c r="L633" s="342"/>
      <c r="M633" s="342"/>
      <c r="N633" s="342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IFERROR(__xludf.DUMMYFUNCTION("IMPORTRANGE(""https://docs.google.com/spreadsheets/d/11923uPwbBZFjjGgGUA6NLw09EwE0CqkOc4q9oUmW1yo/edit?usp=sharing"",""เพชรบูรณ์!I529"")"),12000000)</f>
        <v>12000000</v>
      </c>
      <c r="J634" s="341">
        <f ca="1">IFERROR(__xludf.DUMMYFUNCTION("IMPORTRANGE(""https://docs.google.com/spreadsheets/d/11923uPwbBZFjjGgGUA6NLw09EwE0CqkOc4q9oUmW1yo/edit?usp=sharing"",""เพชรบูรณ์!J529"")"),7488000)</f>
        <v>7488000</v>
      </c>
      <c r="K634" s="342">
        <f t="shared" ca="1" si="129"/>
        <v>62.4</v>
      </c>
      <c r="L634" s="342"/>
      <c r="M634" s="342"/>
      <c r="N634" s="342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IFERROR(__xludf.DUMMYFUNCTION("IMPORTRANGE(""https://docs.google.com/spreadsheets/d/11923uPwbBZFjjGgGUA6NLw09EwE0CqkOc4q9oUmW1yo/edit?usp=sharing"",""เพชรบูรณ์!I530"")"),300)</f>
        <v>300</v>
      </c>
      <c r="J635" s="504">
        <f ca="1">IFERROR(__xludf.DUMMYFUNCTION("IMPORTRANGE(""https://docs.google.com/spreadsheets/d/11923uPwbBZFjjGgGUA6NLw09EwE0CqkOc4q9oUmW1yo/edit?usp=sharing"",""เพชรบูรณ์!J530"")"),218)</f>
        <v>218</v>
      </c>
      <c r="K635" s="486">
        <f t="shared" ca="1" si="129"/>
        <v>72.666666666666671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3880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5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3880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3880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5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IFERROR(__xludf.DUMMYFUNCTION("IMPORTRANGE(""https://docs.google.com/spreadsheets/d/11923uPwbBZFjjGgGUA6NLw09EwE0CqkOc4q9oUmW1yo/edit?usp=sharing"",""เพชรบูรณ์!J541"")"),0)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5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IFERROR(__xludf.DUMMYFUNCTION("IMPORTRANGE(""https://docs.google.com/spreadsheets/d/11923uPwbBZFjjGgGUA6NLw09EwE0CqkOc4q9oUmW1yo/edit?usp=sharing"",""เพชรบูรณ์!J542"")"),0)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5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IFERROR(__xludf.DUMMYFUNCTION("IMPORTRANGE(""https://docs.google.com/spreadsheets/d/11923uPwbBZFjjGgGUA6NLw09EwE0CqkOc4q9oUmW1yo/edit?usp=sharing"",""เพชรบูรณ์!I543"")"),38)</f>
        <v>38</v>
      </c>
      <c r="J648" s="535">
        <f ca="1">IFERROR(__xludf.DUMMYFUNCTION("IMPORTRANGE(""https://docs.google.com/spreadsheets/d/11923uPwbBZFjjGgGUA6NLw09EwE0CqkOc4q9oUmW1yo/edit?usp=sharing"",""เพชรบูรณ์!J543"")"),0)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IFERROR(__xludf.DUMMYFUNCTION("IMPORTRANGE(""https://docs.google.com/spreadsheets/d/11923uPwbBZFjjGgGUA6NLw09EwE0CqkOc4q9oUmW1yo/edit?usp=sharing"",""เพชรบูรณ์!L543"")"),3040)</f>
        <v>3040</v>
      </c>
      <c r="M648" s="520"/>
      <c r="N648" s="537">
        <f ca="1">IFERROR(__xludf.DUMMYFUNCTION("IMPORTRANGE(""https://docs.google.com/spreadsheets/d/11923uPwbBZFjjGgGUA6NLw09EwE0CqkOc4q9oUmW1yo/edit?usp=sharing"",""เพชรบูรณ์!M543"")"),0)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5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IFERROR(__xludf.DUMMYFUNCTION("IMPORTRANGE(""https://docs.google.com/spreadsheets/d/11923uPwbBZFjjGgGUA6NLw09EwE0CqkOc4q9oUmW1yo/edit?usp=sharing"",""เพชรบูรณ์!I544"")"),4)</f>
        <v>4</v>
      </c>
      <c r="J649" s="535">
        <f ca="1">IFERROR(__xludf.DUMMYFUNCTION("IMPORTRANGE(""https://docs.google.com/spreadsheets/d/11923uPwbBZFjjGgGUA6NLw09EwE0CqkOc4q9oUmW1yo/edit?usp=sharing"",""เพชรบูรณ์!J544"")"),0)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IFERROR(__xludf.DUMMYFUNCTION("IMPORTRANGE(""https://docs.google.com/spreadsheets/d/11923uPwbBZFjjGgGUA6NLw09EwE0CqkOc4q9oUmW1yo/edit?usp=sharing"",""เพชรบูรณ์!L544"")"),480)</f>
        <v>480</v>
      </c>
      <c r="M649" s="520"/>
      <c r="N649" s="537">
        <f ca="1">IFERROR(__xludf.DUMMYFUNCTION("IMPORTRANGE(""https://docs.google.com/spreadsheets/d/11923uPwbBZFjjGgGUA6NLw09EwE0CqkOc4q9oUmW1yo/edit?usp=sharing"",""เพชรบูรณ์!M544"")"),0)</f>
        <v>0</v>
      </c>
      <c r="O649" s="536">
        <f t="shared" ca="1" si="132"/>
        <v>0</v>
      </c>
      <c r="P649" s="536"/>
    </row>
    <row r="650" spans="1:16" ht="21.75" customHeight="1" x14ac:dyDescent="0.45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IFERROR(__xludf.DUMMYFUNCTION("IMPORTRANGE(""https://docs.google.com/spreadsheets/d/11923uPwbBZFjjGgGUA6NLw09EwE0CqkOc4q9oUmW1yo/edit?usp=sharing"",""เพชรบูรณ์!I545"")"),0)</f>
        <v>0</v>
      </c>
      <c r="J650" s="535">
        <f ca="1">IFERROR(__xludf.DUMMYFUNCTION("IMPORTRANGE(""https://docs.google.com/spreadsheets/d/11923uPwbBZFjjGgGUA6NLw09EwE0CqkOc4q9oUmW1yo/edit?usp=sharing"",""เพชรบูรณ์!J545"")"),0)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IFERROR(__xludf.DUMMYFUNCTION("IMPORTRANGE(""https://docs.google.com/spreadsheets/d/11923uPwbBZFjjGgGUA6NLw09EwE0CqkOc4q9oUmW1yo/edit?usp=sharing"",""เพชรบูรณ์!L545"")"),0)</f>
        <v>0</v>
      </c>
      <c r="M650" s="520"/>
      <c r="N650" s="537">
        <f ca="1">IFERROR(__xludf.DUMMYFUNCTION("IMPORTRANGE(""https://docs.google.com/spreadsheets/d/11923uPwbBZFjjGgGUA6NLw09EwE0CqkOc4q9oUmW1yo/edit?usp=sharing"",""เพชรบูรณ์!M545"")"),0)</f>
        <v>0</v>
      </c>
      <c r="O650" s="536">
        <f t="shared" ca="1" si="132"/>
        <v>0</v>
      </c>
      <c r="P650" s="536"/>
    </row>
    <row r="651" spans="1:16" ht="21.75" customHeight="1" x14ac:dyDescent="0.45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IFERROR(__xludf.DUMMYFUNCTION("IMPORTRANGE(""https://docs.google.com/spreadsheets/d/11923uPwbBZFjjGgGUA6NLw09EwE0CqkOc4q9oUmW1yo/edit?usp=sharing"",""เพชรบูรณ์!I546"")"),0)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IFERROR(__xludf.DUMMYFUNCTION("IMPORTRANGE(""https://docs.google.com/spreadsheets/d/11923uPwbBZFjjGgGUA6NLw09EwE0CqkOc4q9oUmW1yo/edit?usp=sharing"",""เพชรบูรณ์!L546"")"),0)</f>
        <v>0</v>
      </c>
      <c r="M651" s="520"/>
      <c r="N651" s="537">
        <f ca="1">IFERROR(__xludf.DUMMYFUNCTION("IMPORTRANGE(""https://docs.google.com/spreadsheets/d/11923uPwbBZFjjGgGUA6NLw09EwE0CqkOc4q9oUmW1yo/edit?usp=sharing"",""เพชรบูรณ์!M546"")"),0)</f>
        <v>0</v>
      </c>
      <c r="O651" s="536">
        <f t="shared" ca="1" si="132"/>
        <v>0</v>
      </c>
      <c r="P651" s="536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IFERROR(__xludf.DUMMYFUNCTION("IMPORTRANGE(""https://docs.google.com/spreadsheets/d/11923uPwbBZFjjGgGUA6NLw09EwE0CqkOc4q9oUmW1yo/edit?usp=sharing"",""เพชรบูรณ์!J547"")"),0)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IFERROR(__xludf.DUMMYFUNCTION("IMPORTRANGE(""https://docs.google.com/spreadsheets/d/11923uPwbBZFjjGgGUA6NLw09EwE0CqkOc4q9oUmW1yo/edit?usp=sharing"",""เพชรบูรณ์!J548"")"),0)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IFERROR(__xludf.DUMMYFUNCTION("IMPORTRANGE(""https://docs.google.com/spreadsheets/d/11923uPwbBZFjjGgGUA6NLw09EwE0CqkOc4q9oUmW1yo/edit?usp=sharing"",""เพชรบูรณ์!J550"")"),0)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IFERROR(__xludf.DUMMYFUNCTION("IMPORTRANGE(""https://docs.google.com/spreadsheets/d/11923uPwbBZFjjGgGUA6NLw09EwE0CqkOc4q9oUmW1yo/edit?usp=sharing"",""เพชรบูรณ์!J551"")"),0)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IFERROR(__xludf.DUMMYFUNCTION("IMPORTRANGE(""https://docs.google.com/spreadsheets/d/11923uPwbBZFjjGgGUA6NLw09EwE0CqkOc4q9oUmW1yo/edit?usp=sharing"",""เพชรบูรณ์!J552"")"),0)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IFERROR(__xludf.DUMMYFUNCTION("IMPORTRANGE(""https://docs.google.com/spreadsheets/d/11923uPwbBZFjjGgGUA6NLw09EwE0CqkOc4q9oUmW1yo/edit?usp=sharing"",""เพชรบูรณ์!J553"")"),0)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IFERROR(__xludf.DUMMYFUNCTION("IMPORTRANGE(""https://docs.google.com/spreadsheets/d/11923uPwbBZFjjGgGUA6NLw09EwE0CqkOc4q9oUmW1yo/edit?usp=sharing"",""เพชรบูรณ์!J554"")"),0)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IFERROR(__xludf.DUMMYFUNCTION("IMPORTRANGE(""https://docs.google.com/spreadsheets/d/11923uPwbBZFjjGgGUA6NLw09EwE0CqkOc4q9oUmW1yo/edit?usp=sharing"",""เพชรบูรณ์!J555"")"),0)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5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IFERROR(__xludf.DUMMYFUNCTION("IMPORTRANGE(""https://docs.google.com/spreadsheets/d/11923uPwbBZFjjGgGUA6NLw09EwE0CqkOc4q9oUmW1yo/edit?usp=sharing"",""เพชรบูรณ์!J556"")"),0)</f>
        <v>0</v>
      </c>
      <c r="K661" s="536"/>
      <c r="L661" s="521">
        <f ca="1">IFERROR(__xludf.DUMMYFUNCTION("IMPORTRANGE(""https://docs.google.com/spreadsheets/d/11923uPwbBZFjjGgGUA6NLw09EwE0CqkOc4q9oUmW1yo/edit?usp=sharing"",""เพชรบูรณ์!L556"")"),0)</f>
        <v>0</v>
      </c>
      <c r="M661" s="520"/>
      <c r="N661" s="537">
        <f ca="1">IFERROR(__xludf.DUMMYFUNCTION("IMPORTRANGE(""https://docs.google.com/spreadsheets/d/11923uPwbBZFjjGgGUA6NLw09EwE0CqkOc4q9oUmW1yo/edit?usp=sharing"",""เพชรบูรณ์!M556"")"),0)</f>
        <v>0</v>
      </c>
      <c r="O661" s="536">
        <f ca="1">IF(L661&gt;0,N661*100/L661,0)</f>
        <v>0</v>
      </c>
      <c r="P661" s="536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IFERROR(__xludf.DUMMYFUNCTION("IMPORTRANGE(""https://docs.google.com/spreadsheets/d/11923uPwbBZFjjGgGUA6NLw09EwE0CqkOc4q9oUmW1yo/edit?usp=sharing"",""เพชรบูรณ์!J557"")"),0)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IFERROR(__xludf.DUMMYFUNCTION("IMPORTRANGE(""https://docs.google.com/spreadsheets/d/11923uPwbBZFjjGgGUA6NLw09EwE0CqkOc4q9oUmW1yo/edit?usp=sharing"",""เพชรบูรณ์!I558"")"),0)</f>
        <v>0</v>
      </c>
      <c r="J663" s="535">
        <f ca="1">IFERROR(__xludf.DUMMYFUNCTION("IMPORTRANGE(""https://docs.google.com/spreadsheets/d/11923uPwbBZFjjGgGUA6NLw09EwE0CqkOc4q9oUmW1yo/edit?usp=sharing"",""เพชรบูรณ์!J558"")"),0)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5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IFERROR(__xludf.DUMMYFUNCTION("IMPORTRANGE(""https://docs.google.com/spreadsheets/d/11923uPwbBZFjjGgGUA6NLw09EwE0CqkOc4q9oUmW1yo/edit?usp=sharing"",""เพชรบูรณ์!I560"")"),3)</f>
        <v>3</v>
      </c>
      <c r="J665" s="535">
        <f ca="1">IFERROR(__xludf.DUMMYFUNCTION("IMPORTRANGE(""https://docs.google.com/spreadsheets/d/11923uPwbBZFjjGgGUA6NLw09EwE0CqkOc4q9oUmW1yo/edit?usp=sharing"",""เพชรบูรณ์!J560"")"),0)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IFERROR(__xludf.DUMMYFUNCTION("IMPORTRANGE(""https://docs.google.com/spreadsheets/d/11923uPwbBZFjjGgGUA6NLw09EwE0CqkOc4q9oUmW1yo/edit?usp=sharing"",""เพชรบูรณ์!L560"")"),360)</f>
        <v>360</v>
      </c>
      <c r="M665" s="520"/>
      <c r="N665" s="537">
        <f ca="1">IFERROR(__xludf.DUMMYFUNCTION("IMPORTRANGE(""https://docs.google.com/spreadsheets/d/11923uPwbBZFjjGgGUA6NLw09EwE0CqkOc4q9oUmW1yo/edit?usp=sharing"",""เพชรบูรณ์!M560"")"),0)</f>
        <v>0</v>
      </c>
      <c r="O665" s="536">
        <f ca="1">IF(L665&gt;0,N665*100/L665,0)</f>
        <v>0</v>
      </c>
      <c r="P665" s="536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IFERROR(__xludf.DUMMYFUNCTION("IMPORTRANGE(""https://docs.google.com/spreadsheets/d/11923uPwbBZFjjGgGUA6NLw09EwE0CqkOc4q9oUmW1yo/edit?usp=sharing"",""เพชรบูรณ์!J561"")"),0)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IFERROR(__xludf.DUMMYFUNCTION("IMPORTRANGE(""https://docs.google.com/spreadsheets/d/11923uPwbBZFjjGgGUA6NLw09EwE0CqkOc4q9oUmW1yo/edit?usp=sharing"",""เพชรบูรณ์!J562"")"),0)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IFERROR(__xludf.DUMMYFUNCTION("IMPORTRANGE(""https://docs.google.com/spreadsheets/d/11923uPwbBZFjjGgGUA6NLw09EwE0CqkOc4q9oUmW1yo/edit?usp=sharing"",""เพชรบูรณ์!I563"")"),0)</f>
        <v>0</v>
      </c>
      <c r="J668" s="535">
        <f ca="1">IFERROR(__xludf.DUMMYFUNCTION("IMPORTRANGE(""https://docs.google.com/spreadsheets/d/11923uPwbBZFjjGgGUA6NLw09EwE0CqkOc4q9oUmW1yo/edit?usp=sharing"",""เพชรบูรณ์!J563"")"),0)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IFERROR(__xludf.DUMMYFUNCTION("IMPORTRANGE(""https://docs.google.com/spreadsheets/d/11923uPwbBZFjjGgGUA6NLw09EwE0CqkOc4q9oUmW1yo/edit?usp=sharing"",""เพชรบูรณ์!L563"")"),0)</f>
        <v>0</v>
      </c>
      <c r="M668" s="520"/>
      <c r="N668" s="537">
        <f ca="1">IFERROR(__xludf.DUMMYFUNCTION("IMPORTRANGE(""https://docs.google.com/spreadsheets/d/11923uPwbBZFjjGgGUA6NLw09EwE0CqkOc4q9oUmW1yo/edit?usp=sharing"",""เพชรบูรณ์!M563"")"),0)</f>
        <v>0</v>
      </c>
      <c r="O668" s="536">
        <f ca="1">IF(L668&gt;0,N668*100/L668,0)</f>
        <v>0</v>
      </c>
      <c r="P668" s="536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IFERROR(__xludf.DUMMYFUNCTION("IMPORTRANGE(""https://docs.google.com/spreadsheets/d/11923uPwbBZFjjGgGUA6NLw09EwE0CqkOc4q9oUmW1yo/edit?usp=sharing"",""เพชรบูรณ์!J564"")"),0)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IFERROR(__xludf.DUMMYFUNCTION("IMPORTRANGE(""https://docs.google.com/spreadsheets/d/11923uPwbBZFjjGgGUA6NLw09EwE0CqkOc4q9oUmW1yo/edit?usp=sharing"",""เพชรบูรณ์!J565"")"),0)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5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IFERROR(__xludf.DUMMYFUNCTION("IMPORTRANGE(""https://docs.google.com/spreadsheets/d/11923uPwbBZFjjGgGUA6NLw09EwE0CqkOc4q9oUmW1yo/edit?usp=sharing"",""เพชรบูรณ์!I566"")"),0)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IFERROR(__xludf.DUMMYFUNCTION("IMPORTRANGE(""https://docs.google.com/spreadsheets/d/11923uPwbBZFjjGgGUA6NLw09EwE0CqkOc4q9oUmW1yo/edit?usp=sharing"",""เพชรบูรณ์!L566"")"),0)</f>
        <v>0</v>
      </c>
      <c r="M671" s="520"/>
      <c r="N671" s="537">
        <f ca="1">IFERROR(__xludf.DUMMYFUNCTION("IMPORTRANGE(""https://docs.google.com/spreadsheets/d/11923uPwbBZFjjGgGUA6NLw09EwE0CqkOc4q9oUmW1yo/edit?usp=sharing"",""เพชรบูรณ์!M566"")"),0)</f>
        <v>0</v>
      </c>
      <c r="O671" s="536">
        <f ca="1">IF(L671&gt;0,N671*100/L671,0)</f>
        <v>0</v>
      </c>
      <c r="P671" s="536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IFERROR(__xludf.DUMMYFUNCTION("IMPORTRANGE(""https://docs.google.com/spreadsheets/d/11923uPwbBZFjjGgGUA6NLw09EwE0CqkOc4q9oUmW1yo/edit?usp=sharing"",""เพชรบูรณ์!J567"")"),0)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IFERROR(__xludf.DUMMYFUNCTION("IMPORTRANGE(""https://docs.google.com/spreadsheets/d/11923uPwbBZFjjGgGUA6NLw09EwE0CqkOc4q9oUmW1yo/edit?usp=sharing"",""เพชรบูรณ์!J568"")"),0)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IFERROR(__xludf.DUMMYFUNCTION("IMPORTRANGE(""https://docs.google.com/spreadsheets/d/11923uPwbBZFjjGgGUA6NLw09EwE0CqkOc4q9oUmW1yo/edit?usp=sharing"",""เพชรบูรณ์!J569"")"),0)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IFERROR(__xludf.DUMMYFUNCTION("IMPORTRANGE(""https://docs.google.com/spreadsheets/d/11923uPwbBZFjjGgGUA6NLw09EwE0CqkOc4q9oUmW1yo/edit?usp=sharing"",""เพชรบูรณ์!J570"")"),0)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IFERROR(__xludf.DUMMYFUNCTION("IMPORTRANGE(""https://docs.google.com/spreadsheets/d/11923uPwbBZFjjGgGUA6NLw09EwE0CqkOc4q9oUmW1yo/edit?usp=sharing"",""เพชรบูรณ์!J571"")"),0)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5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IFERROR(__xludf.DUMMYFUNCTION("IMPORTRANGE(""https://docs.google.com/spreadsheets/d/11923uPwbBZFjjGgGUA6NLw09EwE0CqkOc4q9oUmW1yo/edit?usp=sharing"",""เพชรบูรณ์!J572"")"),0)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74.453125" customWidth="1"/>
    <col min="8" max="8" width="10.81640625" customWidth="1"/>
    <col min="9" max="10" width="15.81640625" customWidth="1"/>
    <col min="11" max="11" width="10.1796875" customWidth="1"/>
    <col min="12" max="14" width="19.36328125" bestFit="1" customWidth="1"/>
    <col min="15" max="15" width="18.7265625" customWidth="1"/>
    <col min="16" max="16" width="20.36328125" bestFit="1" customWidth="1"/>
  </cols>
  <sheetData>
    <row r="1" spans="1:16" ht="18" customHeight="1" x14ac:dyDescent="0.3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35">
      <c r="A2" s="577" t="s">
        <v>280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3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15031639.24</v>
      </c>
      <c r="M8" s="23">
        <f t="shared" ca="1" si="0"/>
        <v>12594699.24</v>
      </c>
      <c r="N8" s="23">
        <f t="shared" ca="1" si="0"/>
        <v>13354256.34</v>
      </c>
      <c r="O8" s="22">
        <f t="shared" ref="O8:O16" ca="1" si="1">IF(L8&gt;0,N8*100/L8,0)</f>
        <v>88.840984850565107</v>
      </c>
      <c r="P8" s="22">
        <f t="shared" ref="P8:P16" ca="1" si="2">IF(M8&gt;0,N8*100/M8,0)</f>
        <v>106.03076806778913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15031639.24</v>
      </c>
      <c r="M10" s="30">
        <f t="shared" ca="1" si="4"/>
        <v>12594699.24</v>
      </c>
      <c r="N10" s="30">
        <f t="shared" ca="1" si="4"/>
        <v>13354256.34</v>
      </c>
      <c r="O10" s="29">
        <f t="shared" ca="1" si="1"/>
        <v>88.840984850565107</v>
      </c>
      <c r="P10" s="29">
        <f t="shared" ca="1" si="2"/>
        <v>106.03076806778913</v>
      </c>
    </row>
    <row r="11" spans="1:16" ht="21.75" customHeight="1" x14ac:dyDescent="0.45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4665965</v>
      </c>
      <c r="M12" s="39">
        <f t="shared" ca="1" si="6"/>
        <v>2229025</v>
      </c>
      <c r="N12" s="39">
        <f t="shared" ca="1" si="6"/>
        <v>2988582.0999999996</v>
      </c>
      <c r="O12" s="39">
        <f t="shared" ca="1" si="1"/>
        <v>64.050675476562716</v>
      </c>
      <c r="P12" s="39">
        <f t="shared" ca="1" si="2"/>
        <v>134.07575509471627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1871100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2794865</v>
      </c>
      <c r="M14" s="39">
        <f t="shared" si="8"/>
        <v>0</v>
      </c>
      <c r="N14" s="39">
        <f t="shared" ca="1" si="8"/>
        <v>901951.45</v>
      </c>
      <c r="O14" s="39">
        <f t="shared" ca="1" si="1"/>
        <v>32.271735844128429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10365674.24</v>
      </c>
      <c r="M16" s="39">
        <f t="shared" ca="1" si="10"/>
        <v>10365674.24</v>
      </c>
      <c r="N16" s="39">
        <f t="shared" ca="1" si="10"/>
        <v>10365674.24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13166179.24</v>
      </c>
      <c r="M18" s="23">
        <f t="shared" ca="1" si="11"/>
        <v>12594699.24</v>
      </c>
      <c r="N18" s="23">
        <f t="shared" ca="1" si="11"/>
        <v>12452304.890000001</v>
      </c>
      <c r="O18" s="22">
        <f t="shared" ref="O18:O20" ca="1" si="12">IF(L18&gt;0,N18*100/L18,0)</f>
        <v>94.577968771447473</v>
      </c>
      <c r="P18" s="22">
        <f t="shared" ref="P18:P26" ca="1" si="13">IF(M18&gt;0,N18*100/M18,0)</f>
        <v>98.869410477482745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13166179.24</v>
      </c>
      <c r="M20" s="30">
        <f t="shared" ca="1" si="15"/>
        <v>12594699.24</v>
      </c>
      <c r="N20" s="30">
        <f t="shared" ca="1" si="15"/>
        <v>12452304.890000001</v>
      </c>
      <c r="O20" s="29">
        <f t="shared" ca="1" si="12"/>
        <v>94.577968771447473</v>
      </c>
      <c r="P20" s="29">
        <f t="shared" ca="1" si="13"/>
        <v>98.869410477482745</v>
      </c>
    </row>
    <row r="21" spans="1:16" ht="21.75" customHeight="1" x14ac:dyDescent="0.45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2800505</v>
      </c>
      <c r="M22" s="42">
        <f t="shared" ca="1" si="18"/>
        <v>2229025</v>
      </c>
      <c r="N22" s="39">
        <f t="shared" ca="1" si="18"/>
        <v>2086630.65</v>
      </c>
      <c r="O22" s="39">
        <f t="shared" ca="1" si="17"/>
        <v>74.509084968603872</v>
      </c>
      <c r="P22" s="39">
        <f t="shared" ca="1" si="13"/>
        <v>93.611810096342566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1871100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929405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10365674.24</v>
      </c>
      <c r="M26" s="50">
        <f t="shared" ca="1" si="22"/>
        <v>10365674.24</v>
      </c>
      <c r="N26" s="50">
        <f t="shared" ca="1" si="22"/>
        <v>10365674.24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1865460</v>
      </c>
      <c r="M28" s="23">
        <f t="shared" si="23"/>
        <v>0</v>
      </c>
      <c r="N28" s="23">
        <f t="shared" ca="1" si="23"/>
        <v>901951.45</v>
      </c>
      <c r="O28" s="22">
        <f t="shared" ref="O28:O30" ca="1" si="24">IF(L28&gt;0,N28*100/L28,0)</f>
        <v>48.350082553364857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1865460</v>
      </c>
      <c r="M30" s="30">
        <f t="shared" si="27"/>
        <v>0</v>
      </c>
      <c r="N30" s="30">
        <f t="shared" ca="1" si="27"/>
        <v>901951.45</v>
      </c>
      <c r="O30" s="29">
        <f t="shared" ca="1" si="24"/>
        <v>48.350082553364857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1865460</v>
      </c>
      <c r="M32" s="39">
        <f t="shared" si="30"/>
        <v>0</v>
      </c>
      <c r="N32" s="39">
        <f t="shared" ca="1" si="30"/>
        <v>901951.45</v>
      </c>
      <c r="O32" s="39">
        <f t="shared" ca="1" si="29"/>
        <v>48.350082553364857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1865460</v>
      </c>
      <c r="M34" s="39">
        <f t="shared" si="32"/>
        <v>0</v>
      </c>
      <c r="N34" s="39">
        <f t="shared" ca="1" si="32"/>
        <v>901951.45</v>
      </c>
      <c r="O34" s="39">
        <f t="shared" ca="1" si="29"/>
        <v>48.350082553364857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13166179.24</v>
      </c>
      <c r="M37" s="55">
        <f t="shared" ca="1" si="33"/>
        <v>12594699.24</v>
      </c>
      <c r="N37" s="55">
        <f t="shared" ca="1" si="33"/>
        <v>12452304.890000001</v>
      </c>
      <c r="O37" s="56">
        <f t="shared" ca="1" si="29"/>
        <v>94.577968771447473</v>
      </c>
      <c r="P37" s="56">
        <f t="shared" ca="1" si="25"/>
        <v>98.869410477482745</v>
      </c>
    </row>
    <row r="38" spans="1:16" ht="21.75" customHeight="1" x14ac:dyDescent="0.45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7765700</v>
      </c>
      <c r="M41" s="79">
        <f t="shared" ca="1" si="34"/>
        <v>7613100</v>
      </c>
      <c r="N41" s="79">
        <f t="shared" ca="1" si="34"/>
        <v>7600529.0599999996</v>
      </c>
      <c r="O41" s="78">
        <f t="shared" ref="O41:O43" ca="1" si="35">IF(L41&gt;0,N41*100/L41,0)</f>
        <v>97.873070811388544</v>
      </c>
      <c r="P41" s="78">
        <f t="shared" ref="P41:P43" ca="1" si="36">IF(M41&gt;0,N41*100/M41,0)</f>
        <v>99.834877513759182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7765700</v>
      </c>
      <c r="M43" s="79">
        <f t="shared" ca="1" si="38"/>
        <v>7613100</v>
      </c>
      <c r="N43" s="79">
        <f t="shared" ca="1" si="38"/>
        <v>7600529.0599999996</v>
      </c>
      <c r="O43" s="78">
        <f t="shared" ca="1" si="35"/>
        <v>97.873070811388544</v>
      </c>
      <c r="P43" s="78">
        <f t="shared" ca="1" si="36"/>
        <v>99.834877513759182</v>
      </c>
    </row>
    <row r="44" spans="1:16" ht="21.75" customHeight="1" x14ac:dyDescent="0.45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610700</v>
      </c>
      <c r="M45" s="50">
        <f ca="1">IFERROR(__xludf.DUMMYFUNCTION("IMPORTRANGE(""https://docs.google.com/spreadsheets/d/1Yj_ptqi66GCucihVvJfMjLAmec39IyEx_6qawtMGysU/edit?usp=sharing"",""สบก!Q30"")"),458100)</f>
        <v>458100</v>
      </c>
      <c r="N45" s="50">
        <f ca="1">IFERROR(__xludf.DUMMYFUNCTION("IMPORTRANGE(""https://docs.google.com/spreadsheets/d/1Yj_ptqi66GCucihVvJfMjLAmec39IyEx_6qawtMGysU/edit?usp=sharing"",""สบก!R30"")"),445529.06)</f>
        <v>445529.06</v>
      </c>
      <c r="O45" s="39">
        <f ca="1">IF(L45&gt;0,N45*100/L45,0)</f>
        <v>72.953833306042242</v>
      </c>
      <c r="P45" s="39">
        <f ca="1">IF(M45&gt;0,N45*100/M45,0)</f>
        <v>97.255852433966382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IFERROR(__xludf.DUMMYFUNCTION("IMPORTRANGE(""https://docs.google.com/spreadsheets/d/1Yj_ptqi66GCucihVvJfMjLAmec39IyEx_6qawtMGysU/edit?usp=sharing"",""สบก!M30"")"),610700)</f>
        <v>610700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IFERROR(__xludf.DUMMYFUNCTION("IMPORTRANGE(""https://docs.google.com/spreadsheets/d/1Yj_ptqi66GCucihVvJfMjLAmec39IyEx_6qawtMGysU/edit?usp=sharing"",""สบก!N30"")"),0)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IFERROR(__xludf.DUMMYFUNCTION("IMPORTRANGE(""https://docs.google.com/spreadsheets/d/1Yj_ptqi66GCucihVvJfMjLAmec39IyEx_6qawtMGysU/edit?usp=sharing"",""สบก!O30"")"),7155000)</f>
        <v>7155000</v>
      </c>
      <c r="M49" s="50">
        <f ca="1">L49</f>
        <v>7155000</v>
      </c>
      <c r="N49" s="50">
        <f ca="1">IFERROR(__xludf.DUMMYFUNCTION("IMPORTRANGE(""https://docs.google.com/spreadsheets/d/1Yj_ptqi66GCucihVvJfMjLAmec39IyEx_6qawtMGysU/edit?usp=sharing"",""สบก!S30"")"),7155000)</f>
        <v>7155000</v>
      </c>
      <c r="O49" s="50">
        <f ca="1">IF(L49&gt;0,N49*100/L49,0)</f>
        <v>100</v>
      </c>
      <c r="P49" s="52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637200</v>
      </c>
      <c r="M53" s="121">
        <f t="shared" ca="1" si="39"/>
        <v>477900</v>
      </c>
      <c r="N53" s="121">
        <f t="shared" ca="1" si="39"/>
        <v>446700</v>
      </c>
      <c r="O53" s="120">
        <f t="shared" ref="O53:O55" ca="1" si="40">IF(L53&gt;0,N53*100/L53,0)</f>
        <v>70.103578154425605</v>
      </c>
      <c r="P53" s="120">
        <f t="shared" ref="P53:P55" ca="1" si="41">IF(M53&gt;0,N53*100/M53,0)</f>
        <v>93.471437539234145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637200</v>
      </c>
      <c r="M55" s="121">
        <f t="shared" ca="1" si="43"/>
        <v>477900</v>
      </c>
      <c r="N55" s="121">
        <f t="shared" ca="1" si="43"/>
        <v>446700</v>
      </c>
      <c r="O55" s="120">
        <f t="shared" ca="1" si="40"/>
        <v>70.103578154425605</v>
      </c>
      <c r="P55" s="120">
        <f t="shared" ca="1" si="41"/>
        <v>93.471437539234145</v>
      </c>
    </row>
    <row r="56" spans="1:16" ht="21.75" customHeight="1" x14ac:dyDescent="0.45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637200</v>
      </c>
      <c r="M57" s="50">
        <f ca="1">IFERROR(__xludf.DUMMYFUNCTION("IMPORTRANGE(""https://docs.google.com/spreadsheets/d/1Yj_ptqi66GCucihVvJfMjLAmec39IyEx_6qawtMGysU/edit?usp=sharing"",""สบก!Z30"")"),477900)</f>
        <v>477900</v>
      </c>
      <c r="N57" s="50">
        <f ca="1">IFERROR(__xludf.DUMMYFUNCTION("IMPORTRANGE(""https://docs.google.com/spreadsheets/d/1Yj_ptqi66GCucihVvJfMjLAmec39IyEx_6qawtMGysU/edit?usp=sharing"",""สบก!AA30"")"),446700)</f>
        <v>446700</v>
      </c>
      <c r="O57" s="39">
        <f ca="1">IF(L57&gt;0,N57*100/L57,0)</f>
        <v>70.103578154425605</v>
      </c>
      <c r="P57" s="39">
        <f ca="1">IF(M57&gt;0,N57*100/M57,0)</f>
        <v>93.471437539234145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IFERROR(__xludf.DUMMYFUNCTION("IMPORTRANGE(""https://docs.google.com/spreadsheets/d/1Yj_ptqi66GCucihVvJfMjLAmec39IyEx_6qawtMGysU/edit?usp=sharing"",""สบก!V30"")"),637200)</f>
        <v>637200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IFERROR(__xludf.DUMMYFUNCTION("IMPORTRANGE(""https://docs.google.com/spreadsheets/d/1Yj_ptqi66GCucihVvJfMjLAmec39IyEx_6qawtMGysU/edit?usp=sharing"",""สบก!W30"")"),0)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IFERROR(__xludf.DUMMYFUNCTION("IMPORTRANGE(""https://docs.google.com/spreadsheets/d/1Yj_ptqi66GCucihVvJfMjLAmec39IyEx_6qawtMGysU/edit?usp=sharing"",""สบก!X30"")"),0)</f>
        <v>0</v>
      </c>
      <c r="M61" s="50"/>
      <c r="N61" s="50">
        <f ca="1">IFERROR(__xludf.DUMMYFUNCTION("IMPORTRANGE(""https://docs.google.com/spreadsheets/d/1Yj_ptqi66GCucihVvJfMjLAmec39IyEx_6qawtMGysU/edit?usp=sharing"",""สบก!AB30"")"),0)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IFERROR(__xludf.DUMMYFUNCTION("IMPORTRANGE(""https://docs.google.com/spreadsheets/d/11923uPwbBZFjjGgGUA6NLw09EwE0CqkOc4q9oUmW1yo/edit?usp=sharing"",""แพร่!I9"")"),0)</f>
        <v>0</v>
      </c>
      <c r="J64" s="142">
        <f ca="1">IFERROR(__xludf.DUMMYFUNCTION("IMPORTRANGE(""https://docs.google.com/spreadsheets/d/11923uPwbBZFjjGgGUA6NLw09EwE0CqkOc4q9oUmW1yo/edit?usp=sharing"",""แพร่!J9"")"),0)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IFERROR(__xludf.DUMMYFUNCTION("IMPORTRANGE(""https://docs.google.com/spreadsheets/d/11923uPwbBZFjjGgGUA6NLw09EwE0CqkOc4q9oUmW1yo/edit?usp=sharing"",""แพร่!I10"")"),0)</f>
        <v>0</v>
      </c>
      <c r="J65" s="142">
        <f ca="1">IFERROR(__xludf.DUMMYFUNCTION("IMPORTRANGE(""https://docs.google.com/spreadsheets/d/11923uPwbBZFjjGgGUA6NLw09EwE0CqkOc4q9oUmW1yo/edit?usp=sharing"",""แพร่!J10"")"),0)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3015874.24</v>
      </c>
      <c r="M66" s="152">
        <f t="shared" ca="1" si="45"/>
        <v>3015874.24</v>
      </c>
      <c r="N66" s="152">
        <f t="shared" ca="1" si="45"/>
        <v>3015874.24</v>
      </c>
      <c r="O66" s="151">
        <f t="shared" ref="O66:O68" ca="1" si="46">IF(L66&gt;0,N66*100/L66,0)</f>
        <v>99.999999999999986</v>
      </c>
      <c r="P66" s="151">
        <f t="shared" ref="P66:P68" ca="1" si="47">IF(M66&gt;0,N66*100/M66,0)</f>
        <v>99.999999999999986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3015874.24</v>
      </c>
      <c r="M68" s="88">
        <f t="shared" ca="1" si="49"/>
        <v>3015874.24</v>
      </c>
      <c r="N68" s="88">
        <f t="shared" ca="1" si="49"/>
        <v>3015874.24</v>
      </c>
      <c r="O68" s="156">
        <f t="shared" ca="1" si="46"/>
        <v>99.999999999999986</v>
      </c>
      <c r="P68" s="156">
        <f t="shared" ca="1" si="47"/>
        <v>99.999999999999986</v>
      </c>
    </row>
    <row r="69" spans="1:16" ht="21.75" customHeight="1" x14ac:dyDescent="0.45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IFERROR(__xludf.DUMMYFUNCTION("IMPORTRANGE(""https://docs.google.com/spreadsheets/d/1Yj_ptqi66GCucihVvJfMjLAmec39IyEx_6qawtMGysU/edit?usp=sharing"",""สบก!AI30"")"),0)</f>
        <v>0</v>
      </c>
      <c r="N70" s="168">
        <f ca="1">IFERROR(__xludf.DUMMYFUNCTION("IMPORTRANGE(""https://docs.google.com/spreadsheets/d/1Yj_ptqi66GCucihVvJfMjLAmec39IyEx_6qawtMGysU/edit?usp=sharing"",""สบก!AJ30"")"),0)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IFERROR(__xludf.DUMMYFUNCTION("IMPORTRANGE(""https://docs.google.com/spreadsheets/d/1Yj_ptqi66GCucihVvJfMjLAmec39IyEx_6qawtMGysU/edit?usp=sharing"",""สบก!AE30"")"),0)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IFERROR(__xludf.DUMMYFUNCTION("IMPORTRANGE(""https://docs.google.com/spreadsheets/d/1Yj_ptqi66GCucihVvJfMjLAmec39IyEx_6qawtMGysU/edit?usp=sharing"",""สบก!AF30"")"),0)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IFERROR(__xludf.DUMMYFUNCTION("IMPORTRANGE(""https://docs.google.com/spreadsheets/d/1Yj_ptqi66GCucihVvJfMjLAmec39IyEx_6qawtMGysU/edit?usp=sharing"",""สบก!AG30"")"),3015874.24)</f>
        <v>3015874.24</v>
      </c>
      <c r="M74" s="50">
        <f ca="1">L74</f>
        <v>3015874.24</v>
      </c>
      <c r="N74" s="50">
        <f ca="1">IFERROR(__xludf.DUMMYFUNCTION("IMPORTRANGE(""https://docs.google.com/spreadsheets/d/1Yj_ptqi66GCucihVvJfMjLAmec39IyEx_6qawtMGysU/edit?usp=sharing"",""สบก!AK30"")"),3015874.24)</f>
        <v>3015874.24</v>
      </c>
      <c r="O74" s="50">
        <f ca="1">IF(L74&gt;0,N74*100/L74,0)</f>
        <v>99.999999999999986</v>
      </c>
      <c r="P74" s="50">
        <f ca="1">IF(M74&gt;0,N74*100/M74,0)</f>
        <v>99.999999999999986</v>
      </c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IFERROR(__xludf.DUMMYFUNCTION("IMPORTRANGE(""https://docs.google.com/spreadsheets/d/11923uPwbBZFjjGgGUA6NLw09EwE0CqkOc4q9oUmW1yo/edit?usp=sharing"",""แพร่!J16"")"),0)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IFERROR(__xludf.DUMMYFUNCTION("IMPORTRANGE(""https://docs.google.com/spreadsheets/d/11923uPwbBZFjjGgGUA6NLw09EwE0CqkOc4q9oUmW1yo/edit?usp=sharing"",""แพร่!J17"")"),0)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IFERROR(__xludf.DUMMYFUNCTION("IMPORTRANGE(""https://docs.google.com/spreadsheets/d/11923uPwbBZFjjGgGUA6NLw09EwE0CqkOc4q9oUmW1yo/edit?usp=sharing"",""แพร่!J18"")"),0)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IFERROR(__xludf.DUMMYFUNCTION("IMPORTRANGE(""https://docs.google.com/spreadsheets/d/11923uPwbBZFjjGgGUA6NLw09EwE0CqkOc4q9oUmW1yo/edit?usp=sharing"",""แพร่!J19"")"),0)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IFERROR(__xludf.DUMMYFUNCTION("IMPORTRANGE(""https://docs.google.com/spreadsheets/d/11923uPwbBZFjjGgGUA6NLw09EwE0CqkOc4q9oUmW1yo/edit?usp=sharing"",""แพร่!I20"")"),0)</f>
        <v>0</v>
      </c>
      <c r="J80" s="200">
        <f ca="1">IFERROR(__xludf.DUMMYFUNCTION("IMPORTRANGE(""https://docs.google.com/spreadsheets/d/11923uPwbBZFjjGgGUA6NLw09EwE0CqkOc4q9oUmW1yo/edit?usp=sharing"",""แพร่!J20"")"),0)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IFERROR(__xludf.DUMMYFUNCTION("IMPORTRANGE(""https://docs.google.com/spreadsheets/d/11923uPwbBZFjjGgGUA6NLw09EwE0CqkOc4q9oUmW1yo/edit?usp=sharing"",""แพร่!I21"")"),0)</f>
        <v>0</v>
      </c>
      <c r="J81" s="200">
        <f ca="1">IFERROR(__xludf.DUMMYFUNCTION("IMPORTRANGE(""https://docs.google.com/spreadsheets/d/11923uPwbBZFjjGgGUA6NLw09EwE0CqkOc4q9oUmW1yo/edit?usp=sharing"",""แพร่!J21"")"),0)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IFERROR(__xludf.DUMMYFUNCTION("IMPORTRANGE(""https://docs.google.com/spreadsheets/d/11923uPwbBZFjjGgGUA6NLw09EwE0CqkOc4q9oUmW1yo/edit?usp=sharing"",""แพร่!I22"")"),0)</f>
        <v>0</v>
      </c>
      <c r="J82" s="203">
        <f ca="1">IFERROR(__xludf.DUMMYFUNCTION("IMPORTRANGE(""https://docs.google.com/spreadsheets/d/11923uPwbBZFjjGgGUA6NLw09EwE0CqkOc4q9oUmW1yo/edit?usp=sharing"",""แพร่!J22"")"),0)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IFERROR(__xludf.DUMMYFUNCTION("IMPORTRANGE(""https://docs.google.com/spreadsheets/d/11923uPwbBZFjjGgGUA6NLw09EwE0CqkOc4q9oUmW1yo/edit?usp=sharing"",""แพร่!I23"")"),0)</f>
        <v>0</v>
      </c>
      <c r="J83" s="203">
        <f ca="1">IFERROR(__xludf.DUMMYFUNCTION("IMPORTRANGE(""https://docs.google.com/spreadsheets/d/11923uPwbBZFjjGgGUA6NLw09EwE0CqkOc4q9oUmW1yo/edit?usp=sharing"",""แพร่!J23"")"),0)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IFERROR(__xludf.DUMMYFUNCTION("IMPORTRANGE(""https://docs.google.com/spreadsheets/d/11923uPwbBZFjjGgGUA6NLw09EwE0CqkOc4q9oUmW1yo/edit?usp=sharing"",""แพร่!I24"")"),0)</f>
        <v>0</v>
      </c>
      <c r="J84" s="188">
        <f ca="1">IFERROR(__xludf.DUMMYFUNCTION("IMPORTRANGE(""https://docs.google.com/spreadsheets/d/11923uPwbBZFjjGgGUA6NLw09EwE0CqkOc4q9oUmW1yo/edit?usp=sharing"",""แพร่!J24"")"),0)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IFERROR(__xludf.DUMMYFUNCTION("IMPORTRANGE(""https://docs.google.com/spreadsheets/d/11923uPwbBZFjjGgGUA6NLw09EwE0CqkOc4q9oUmW1yo/edit?usp=sharing"",""แพร่!I25"")"),0)</f>
        <v>0</v>
      </c>
      <c r="J85" s="188">
        <f ca="1">IFERROR(__xludf.DUMMYFUNCTION("IMPORTRANGE(""https://docs.google.com/spreadsheets/d/11923uPwbBZFjjGgGUA6NLw09EwE0CqkOc4q9oUmW1yo/edit?usp=sharing"",""แพร่!J25"")"),0)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IFERROR(__xludf.DUMMYFUNCTION("IMPORTRANGE(""https://docs.google.com/spreadsheets/d/11923uPwbBZFjjGgGUA6NLw09EwE0CqkOc4q9oUmW1yo/edit?usp=sharing"",""แพร่!I26"")"),0)</f>
        <v>0</v>
      </c>
      <c r="J86" s="203">
        <f ca="1">IFERROR(__xludf.DUMMYFUNCTION("IMPORTRANGE(""https://docs.google.com/spreadsheets/d/11923uPwbBZFjjGgGUA6NLw09EwE0CqkOc4q9oUmW1yo/edit?usp=sharing"",""แพร่!J26"")"),0)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IFERROR(__xludf.DUMMYFUNCTION("IMPORTRANGE(""https://docs.google.com/spreadsheets/d/11923uPwbBZFjjGgGUA6NLw09EwE0CqkOc4q9oUmW1yo/edit?usp=sharing"",""แพร่!I27"")"),0)</f>
        <v>0</v>
      </c>
      <c r="J87" s="203">
        <f ca="1">IFERROR(__xludf.DUMMYFUNCTION("IMPORTRANGE(""https://docs.google.com/spreadsheets/d/11923uPwbBZFjjGgGUA6NLw09EwE0CqkOc4q9oUmW1yo/edit?usp=sharing"",""แพร่!J27"")"),0)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IFERROR(__xludf.DUMMYFUNCTION("IMPORTRANGE(""https://docs.google.com/spreadsheets/d/11923uPwbBZFjjGgGUA6NLw09EwE0CqkOc4q9oUmW1yo/edit?usp=sharing"",""แพร่!I28"")"),0)</f>
        <v>0</v>
      </c>
      <c r="J88" s="203">
        <f ca="1">IFERROR(__xludf.DUMMYFUNCTION("IMPORTRANGE(""https://docs.google.com/spreadsheets/d/11923uPwbBZFjjGgGUA6NLw09EwE0CqkOc4q9oUmW1yo/edit?usp=sharing"",""แพร่!J28"")"),0)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IFERROR(__xludf.DUMMYFUNCTION("IMPORTRANGE(""https://docs.google.com/spreadsheets/d/11923uPwbBZFjjGgGUA6NLw09EwE0CqkOc4q9oUmW1yo/edit?usp=sharing"",""แพร่!J29"")"),0)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IFERROR(__xludf.DUMMYFUNCTION("IMPORTRANGE(""https://docs.google.com/spreadsheets/d/11923uPwbBZFjjGgGUA6NLw09EwE0CqkOc4q9oUmW1yo/edit?usp=sharing"",""แพร่!J30"")"),0)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IFERROR(__xludf.DUMMYFUNCTION("IMPORTRANGE(""https://docs.google.com/spreadsheets/d/11923uPwbBZFjjGgGUA6NLw09EwE0CqkOc4q9oUmW1yo/edit?usp=sharing"",""แพร่!I32"")"),7)</f>
        <v>7</v>
      </c>
      <c r="J92" s="142">
        <f ca="1">IFERROR(__xludf.DUMMYFUNCTION("IMPORTRANGE(""https://docs.google.com/spreadsheets/d/11923uPwbBZFjjGgGUA6NLw09EwE0CqkOc4q9oUmW1yo/edit?usp=sharing"",""แพร่!J32"")"),7)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IFERROR(__xludf.DUMMYFUNCTION("IMPORTRANGE(""https://docs.google.com/spreadsheets/d/11923uPwbBZFjjGgGUA6NLw09EwE0CqkOc4q9oUmW1yo/edit?usp=sharing"",""แพร่!I33"")"),2)</f>
        <v>2</v>
      </c>
      <c r="J93" s="142">
        <f ca="1">IFERROR(__xludf.DUMMYFUNCTION("IMPORTRANGE(""https://docs.google.com/spreadsheets/d/11923uPwbBZFjjGgGUA6NLw09EwE0CqkOc4q9oUmW1yo/edit?usp=sharing"",""แพร่!J33"")"),2)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298915</v>
      </c>
      <c r="N94" s="152">
        <f t="shared" ca="1" si="52"/>
        <v>294571</v>
      </c>
      <c r="O94" s="151">
        <f t="shared" ref="O94:O96" ca="1" si="53">IF(L94&gt;0,N94*100/L94,0)</f>
        <v>92.353586656634064</v>
      </c>
      <c r="P94" s="151">
        <f t="shared" ref="P94:P96" ca="1" si="54">IF(M94&gt;0,N94*100/M94,0)</f>
        <v>98.546744057675255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298915</v>
      </c>
      <c r="N96" s="88">
        <f t="shared" ca="1" si="56"/>
        <v>294571</v>
      </c>
      <c r="O96" s="156">
        <f t="shared" ca="1" si="53"/>
        <v>92.353586656634064</v>
      </c>
      <c r="P96" s="156">
        <f t="shared" ca="1" si="54"/>
        <v>98.546744057675255</v>
      </c>
    </row>
    <row r="97" spans="1:16" ht="21.75" customHeight="1" x14ac:dyDescent="0.45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IFERROR(__xludf.DUMMYFUNCTION("IMPORTRANGE(""https://docs.google.com/spreadsheets/d/1Yj_ptqi66GCucihVvJfMjLAmec39IyEx_6qawtMGysU/edit?usp=sharing"",""สบก!AR30"")"),114115)</f>
        <v>114115</v>
      </c>
      <c r="N98" s="168">
        <f ca="1">IFERROR(__xludf.DUMMYFUNCTION("IMPORTRANGE(""https://docs.google.com/spreadsheets/d/1Yj_ptqi66GCucihVvJfMjLAmec39IyEx_6qawtMGysU/edit?usp=sharing"",""สบก!AS30"")"),109771)</f>
        <v>109771</v>
      </c>
      <c r="O98" s="168">
        <f ca="1">IF(L98&gt;0,N98*100/L98,0)</f>
        <v>81.820960047704233</v>
      </c>
      <c r="P98" s="168">
        <f ca="1">IF(M98&gt;0,N98*100/M98,0)</f>
        <v>96.193313762432638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IFERROR(__xludf.DUMMYFUNCTION("IMPORTRANGE(""https://docs.google.com/spreadsheets/d/1Yj_ptqi66GCucihVvJfMjLAmec39IyEx_6qawtMGysU/edit?usp=sharing"",""สบก!AN30"")"),0)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IFERROR(__xludf.DUMMYFUNCTION("IMPORTRANGE(""https://docs.google.com/spreadsheets/d/1Yj_ptqi66GCucihVvJfMjLAmec39IyEx_6qawtMGysU/edit?usp=sharing"",""สบก!AO30"")"),134160)</f>
        <v>134160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IFERROR(__xludf.DUMMYFUNCTION("IMPORTRANGE(""https://docs.google.com/spreadsheets/d/1Yj_ptqi66GCucihVvJfMjLAmec39IyEx_6qawtMGysU/edit?usp=sharing"",""สบก!AP30"")"),184800)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IFERROR(__xludf.DUMMYFUNCTION("IMPORTRANGE(""https://docs.google.com/spreadsheets/d/1Yj_ptqi66GCucihVvJfMjLAmec39IyEx_6qawtMGysU/edit?usp=sharing"",""สบก!AT30"")"),184800)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IFERROR(__xludf.DUMMYFUNCTION("IMPORTRANGE(""https://docs.google.com/spreadsheets/d/11923uPwbBZFjjGgGUA6NLw09EwE0CqkOc4q9oUmW1yo/edit?usp=sharing"",""แพร่!J39"")"),0)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IFERROR(__xludf.DUMMYFUNCTION("IMPORTRANGE(""https://docs.google.com/spreadsheets/d/11923uPwbBZFjjGgGUA6NLw09EwE0CqkOc4q9oUmW1yo/edit?usp=sharing"",""แพร่!J40"")"),1)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IFERROR(__xludf.DUMMYFUNCTION("IMPORTRANGE(""https://docs.google.com/spreadsheets/d/11923uPwbBZFjjGgGUA6NLw09EwE0CqkOc4q9oUmW1yo/edit?usp=sharing"",""แพร่!J41"")"),1)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IFERROR(__xludf.DUMMYFUNCTION("IMPORTRANGE(""https://docs.google.com/spreadsheets/d/11923uPwbBZFjjGgGUA6NLw09EwE0CqkOc4q9oUmW1yo/edit?usp=sharing"",""แพร่!J42"")"),1)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IFERROR(__xludf.DUMMYFUNCTION("IMPORTRANGE(""https://docs.google.com/spreadsheets/d/11923uPwbBZFjjGgGUA6NLw09EwE0CqkOc4q9oUmW1yo/edit?usp=sharing"",""แพร่!I43"")"),1)</f>
        <v>1</v>
      </c>
      <c r="J108" s="203">
        <f ca="1">IFERROR(__xludf.DUMMYFUNCTION("IMPORTRANGE(""https://docs.google.com/spreadsheets/d/11923uPwbBZFjjGgGUA6NLw09EwE0CqkOc4q9oUmW1yo/edit?usp=sharing"",""แพร่!J43"")"),1)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IFERROR(__xludf.DUMMYFUNCTION("IMPORTRANGE(""https://docs.google.com/spreadsheets/d/11923uPwbBZFjjGgGUA6NLw09EwE0CqkOc4q9oUmW1yo/edit?usp=sharing"",""แพร่!I44"")"),7)</f>
        <v>7</v>
      </c>
      <c r="J109" s="203">
        <f ca="1">IFERROR(__xludf.DUMMYFUNCTION("IMPORTRANGE(""https://docs.google.com/spreadsheets/d/11923uPwbBZFjjGgGUA6NLw09EwE0CqkOc4q9oUmW1yo/edit?usp=sharing"",""แพร่!J44"")"),7)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IFERROR(__xludf.DUMMYFUNCTION("IMPORTRANGE(""https://docs.google.com/spreadsheets/d/11923uPwbBZFjjGgGUA6NLw09EwE0CqkOc4q9oUmW1yo/edit?usp=sharing"",""แพร่!I45"")"),7)</f>
        <v>7</v>
      </c>
      <c r="J110" s="203">
        <f ca="1">IFERROR(__xludf.DUMMYFUNCTION("IMPORTRANGE(""https://docs.google.com/spreadsheets/d/11923uPwbBZFjjGgGUA6NLw09EwE0CqkOc4q9oUmW1yo/edit?usp=sharing"",""แพร่!J45"")"),7)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IFERROR(__xludf.DUMMYFUNCTION("IMPORTRANGE(""https://docs.google.com/spreadsheets/d/11923uPwbBZFjjGgGUA6NLw09EwE0CqkOc4q9oUmW1yo/edit?usp=sharing"",""แพร่!I46"")"),7)</f>
        <v>7</v>
      </c>
      <c r="J111" s="203">
        <f ca="1">IFERROR(__xludf.DUMMYFUNCTION("IMPORTRANGE(""https://docs.google.com/spreadsheets/d/11923uPwbBZFjjGgGUA6NLw09EwE0CqkOc4q9oUmW1yo/edit?usp=sharing"",""แพร่!J46"")"),7)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IFERROR(__xludf.DUMMYFUNCTION("IMPORTRANGE(""https://docs.google.com/spreadsheets/d/11923uPwbBZFjjGgGUA6NLw09EwE0CqkOc4q9oUmW1yo/edit?usp=sharing"",""แพร่!I47"")"),7)</f>
        <v>7</v>
      </c>
      <c r="J112" s="203">
        <f ca="1">IFERROR(__xludf.DUMMYFUNCTION("IMPORTRANGE(""https://docs.google.com/spreadsheets/d/11923uPwbBZFjjGgGUA6NLw09EwE0CqkOc4q9oUmW1yo/edit?usp=sharing"",""แพร่!J47"")"),7)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IFERROR(__xludf.DUMMYFUNCTION("IMPORTRANGE(""https://docs.google.com/spreadsheets/d/11923uPwbBZFjjGgGUA6NLw09EwE0CqkOc4q9oUmW1yo/edit?usp=sharing"",""แพร่!I48"")"),2)</f>
        <v>2</v>
      </c>
      <c r="J113" s="203">
        <f ca="1">IFERROR(__xludf.DUMMYFUNCTION("IMPORTRANGE(""https://docs.google.com/spreadsheets/d/11923uPwbBZFjjGgGUA6NLw09EwE0CqkOc4q9oUmW1yo/edit?usp=sharing"",""แพร่!J48"")"),2)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IFERROR(__xludf.DUMMYFUNCTION("IMPORTRANGE(""https://docs.google.com/spreadsheets/d/11923uPwbBZFjjGgGUA6NLw09EwE0CqkOc4q9oUmW1yo/edit?usp=sharing"",""แพร่!J49"")"),0)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IFERROR(__xludf.DUMMYFUNCTION("IMPORTRANGE(""https://docs.google.com/spreadsheets/d/11923uPwbBZFjjGgGUA6NLw09EwE0CqkOc4q9oUmW1yo/edit?usp=sharing"",""แพร่!J50"")"),0)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IFERROR(__xludf.DUMMYFUNCTION("IMPORTRANGE(""https://docs.google.com/spreadsheets/d/11923uPwbBZFjjGgGUA6NLw09EwE0CqkOc4q9oUmW1yo/edit?usp=sharing"",""แพร่!I52"")"),20)</f>
        <v>20</v>
      </c>
      <c r="J117" s="142">
        <f ca="1">IFERROR(__xludf.DUMMYFUNCTION("IMPORTRANGE(""https://docs.google.com/spreadsheets/d/11923uPwbBZFjjGgGUA6NLw09EwE0CqkOc4q9oUmW1yo/edit?usp=sharing"",""แพร่!J52"")"),20)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68440</v>
      </c>
      <c r="O118" s="151">
        <f t="shared" ref="O118:O120" ca="1" si="59">IF(L118&gt;0,N118*100/L118,0)</f>
        <v>83.017952450266861</v>
      </c>
      <c r="P118" s="151">
        <f t="shared" ref="P118:P120" ca="1" si="60">IF(M118&gt;0,N118*100/M118,0)</f>
        <v>83.017952450266861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68440</v>
      </c>
      <c r="O120" s="156">
        <f t="shared" ca="1" si="59"/>
        <v>83.017952450266861</v>
      </c>
      <c r="P120" s="156">
        <f t="shared" ca="1" si="60"/>
        <v>83.017952450266861</v>
      </c>
    </row>
    <row r="121" spans="1:16" ht="21.75" customHeight="1" x14ac:dyDescent="0.45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IFERROR(__xludf.DUMMYFUNCTION("IMPORTRANGE(""https://docs.google.com/spreadsheets/d/1Yj_ptqi66GCucihVvJfMjLAmec39IyEx_6qawtMGysU/edit?usp=sharing"",""สบก!BA30"")"),82440)</f>
        <v>82440</v>
      </c>
      <c r="N122" s="168">
        <f ca="1">IFERROR(__xludf.DUMMYFUNCTION("IMPORTRANGE(""https://docs.google.com/spreadsheets/d/1Yj_ptqi66GCucihVvJfMjLAmec39IyEx_6qawtMGysU/edit?usp=sharing"",""สบก!BB30"")"),68440)</f>
        <v>68440</v>
      </c>
      <c r="O122" s="168">
        <f ca="1">IF(L122&gt;0,N122*100/L122,0)</f>
        <v>83.017952450266861</v>
      </c>
      <c r="P122" s="168">
        <f ca="1">IF(M122&gt;0,N122*100/M122,0)</f>
        <v>83.017952450266861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IFERROR(__xludf.DUMMYFUNCTION("IMPORTRANGE(""https://docs.google.com/spreadsheets/d/1Yj_ptqi66GCucihVvJfMjLAmec39IyEx_6qawtMGysU/edit?usp=sharing"",""สบก!AW30"")"),0)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IFERROR(__xludf.DUMMYFUNCTION("IMPORTRANGE(""https://docs.google.com/spreadsheets/d/1Yj_ptqi66GCucihVvJfMjLAmec39IyEx_6qawtMGysU/edit?usp=sharing"",""สบก!AX30"")"),82440)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IFERROR(__xludf.DUMMYFUNCTION("IMPORTRANGE(""https://docs.google.com/spreadsheets/d/1Yj_ptqi66GCucihVvJfMjLAmec39IyEx_6qawtMGysU/edit?usp=sharing"",""สบก!AY30"")"),0)</f>
        <v>0</v>
      </c>
      <c r="M126" s="50"/>
      <c r="N126" s="50">
        <f ca="1">IFERROR(__xludf.DUMMYFUNCTION("IMPORTRANGE(""https://docs.google.com/spreadsheets/d/1Yj_ptqi66GCucihVvJfMjLAmec39IyEx_6qawtMGysU/edit?usp=sharing"",""สบก!BC30"")"),0)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281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IFERROR(__xludf.DUMMYFUNCTION("IMPORTRANGE(""https://docs.google.com/spreadsheets/d/11923uPwbBZFjjGgGUA6NLw09EwE0CqkOc4q9oUmW1yo/edit?usp=sharing"",""แพร่!J58"")"),0)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IFERROR(__xludf.DUMMYFUNCTION("IMPORTRANGE(""https://docs.google.com/spreadsheets/d/11923uPwbBZFjjGgGUA6NLw09EwE0CqkOc4q9oUmW1yo/edit?usp=sharing"",""แพร่!J59"")"),1)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IFERROR(__xludf.DUMMYFUNCTION("IMPORTRANGE(""https://docs.google.com/spreadsheets/d/11923uPwbBZFjjGgGUA6NLw09EwE0CqkOc4q9oUmW1yo/edit?usp=sharing"",""แพร่!J60"")"),1)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IFERROR(__xludf.DUMMYFUNCTION("IMPORTRANGE(""https://docs.google.com/spreadsheets/d/11923uPwbBZFjjGgGUA6NLw09EwE0CqkOc4q9oUmW1yo/edit?usp=sharing"",""แพร่!J61"")"),1)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IFERROR(__xludf.DUMMYFUNCTION("IMPORTRANGE(""https://docs.google.com/spreadsheets/d/11923uPwbBZFjjGgGUA6NLw09EwE0CqkOc4q9oUmW1yo/edit?usp=sharing"",""แพร่!I62"")"),20)</f>
        <v>20</v>
      </c>
      <c r="J132" s="203">
        <f ca="1">IFERROR(__xludf.DUMMYFUNCTION("IMPORTRANGE(""https://docs.google.com/spreadsheets/d/11923uPwbBZFjjGgGUA6NLw09EwE0CqkOc4q9oUmW1yo/edit?usp=sharing"",""แพร่!J62"")"),20)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IFERROR(__xludf.DUMMYFUNCTION("IMPORTRANGE(""https://docs.google.com/spreadsheets/d/11923uPwbBZFjjGgGUA6NLw09EwE0CqkOc4q9oUmW1yo/edit?usp=sharing"",""แพร่!I63"")"),20)</f>
        <v>20</v>
      </c>
      <c r="J133" s="203">
        <f ca="1">IFERROR(__xludf.DUMMYFUNCTION("IMPORTRANGE(""https://docs.google.com/spreadsheets/d/11923uPwbBZFjjGgGUA6NLw09EwE0CqkOc4q9oUmW1yo/edit?usp=sharing"",""แพร่!J63"")"),30)</f>
        <v>30</v>
      </c>
      <c r="K133" s="224">
        <f t="shared" ca="1" si="63"/>
        <v>150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IFERROR(__xludf.DUMMYFUNCTION("IMPORTRANGE(""https://docs.google.com/spreadsheets/d/11923uPwbBZFjjGgGUA6NLw09EwE0CqkOc4q9oUmW1yo/edit?usp=sharing"",""แพร่!J64"")"),0)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IFERROR(__xludf.DUMMYFUNCTION("IMPORTRANGE(""https://docs.google.com/spreadsheets/d/11923uPwbBZFjjGgGUA6NLw09EwE0CqkOc4q9oUmW1yo/edit?usp=sharing"",""แพร่!J65"")"),0)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IFERROR(__xludf.DUMMYFUNCTION("IMPORTRANGE(""https://docs.google.com/spreadsheets/d/11923uPwbBZFjjGgGUA6NLw09EwE0CqkOc4q9oUmW1yo/edit?usp=sharing"",""แพร่!I68"")"),0)</f>
        <v>0</v>
      </c>
      <c r="J138" s="267">
        <f ca="1">IFERROR(__xludf.DUMMYFUNCTION("IMPORTRANGE(""https://docs.google.com/spreadsheets/d/11923uPwbBZFjjGgGUA6NLw09EwE0CqkOc4q9oUmW1yo/edit?usp=sharing"",""แพร่!J68"")"),0)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101725</v>
      </c>
      <c r="N140" s="152">
        <f t="shared" ca="1" si="64"/>
        <v>64879</v>
      </c>
      <c r="O140" s="151">
        <f t="shared" ref="O140:O142" ca="1" si="65">IF(L140&gt;0,N140*100/L140,0)</f>
        <v>94.027536231884056</v>
      </c>
      <c r="P140" s="151">
        <f t="shared" ref="P140:P142" ca="1" si="66">IF(M140&gt;0,N140*100/M140,0)</f>
        <v>63.778815433767512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101725</v>
      </c>
      <c r="N142" s="88">
        <f t="shared" ca="1" si="68"/>
        <v>64879</v>
      </c>
      <c r="O142" s="156">
        <f t="shared" ca="1" si="65"/>
        <v>94.027536231884056</v>
      </c>
      <c r="P142" s="156">
        <f t="shared" ca="1" si="66"/>
        <v>63.778815433767512</v>
      </c>
    </row>
    <row r="143" spans="1:16" ht="21.75" customHeight="1" x14ac:dyDescent="0.45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IFERROR(__xludf.DUMMYFUNCTION("IMPORTRANGE(""https://docs.google.com/spreadsheets/d/1Yj_ptqi66GCucihVvJfMjLAmec39IyEx_6qawtMGysU/edit?usp=sharing"",""สบก!BJ30"")"),101725)</f>
        <v>101725</v>
      </c>
      <c r="N144" s="168">
        <f ca="1">IFERROR(__xludf.DUMMYFUNCTION("IMPORTRANGE(""https://docs.google.com/spreadsheets/d/1Yj_ptqi66GCucihVvJfMjLAmec39IyEx_6qawtMGysU/edit?usp=sharing"",""สบก!BK30"")"),64879)</f>
        <v>64879</v>
      </c>
      <c r="O144" s="168">
        <f ca="1">IF(L144&gt;0,N144*100/L144,0)</f>
        <v>94.027536231884056</v>
      </c>
      <c r="P144" s="168">
        <f ca="1">IF(M144&gt;0,N144*100/M144,0)</f>
        <v>63.778815433767512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IFERROR(__xludf.DUMMYFUNCTION("IMPORTRANGE(""https://docs.google.com/spreadsheets/d/1Yj_ptqi66GCucihVvJfMjLAmec39IyEx_6qawtMGysU/edit?usp=sharing"",""สบก!BF30"")"),0)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IFERROR(__xludf.DUMMYFUNCTION("IMPORTRANGE(""https://docs.google.com/spreadsheets/d/1Yj_ptqi66GCucihVvJfMjLAmec39IyEx_6qawtMGysU/edit?usp=sharing"",""สบก!BG30"")"),69000)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IFERROR(__xludf.DUMMYFUNCTION("IMPORTRANGE(""https://docs.google.com/spreadsheets/d/1Yj_ptqi66GCucihVvJfMjLAmec39IyEx_6qawtMGysU/edit?usp=sharing"",""สบก!BH30"")"),0)</f>
        <v>0</v>
      </c>
      <c r="M148" s="50"/>
      <c r="N148" s="50">
        <f ca="1">IFERROR(__xludf.DUMMYFUNCTION("IMPORTRANGE(""https://docs.google.com/spreadsheets/d/1Yj_ptqi66GCucihVvJfMjLAmec39IyEx_6qawtMGysU/edit?usp=sharing"",""สบก!BL30"")"),0)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IFERROR(__xludf.DUMMYFUNCTION("IMPORTRANGE(""https://docs.google.com/spreadsheets/d/11923uPwbBZFjjGgGUA6NLw09EwE0CqkOc4q9oUmW1yo/edit?usp=sharing"",""แพร่!I74"")"),4)</f>
        <v>4</v>
      </c>
      <c r="J149" s="275">
        <f ca="1">IFERROR(__xludf.DUMMYFUNCTION("IMPORTRANGE(""https://docs.google.com/spreadsheets/d/11923uPwbBZFjjGgGUA6NLw09EwE0CqkOc4q9oUmW1yo/edit?usp=sharing"",""แพร่!J74"")"),2)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IFERROR(__xludf.DUMMYFUNCTION("IMPORTRANGE(""https://docs.google.com/spreadsheets/d/11923uPwbBZFjjGgGUA6NLw09EwE0CqkOc4q9oUmW1yo/edit?usp=sharing"",""แพร่!J79"")"),0)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IFERROR(__xludf.DUMMYFUNCTION("IMPORTRANGE(""https://docs.google.com/spreadsheets/d/11923uPwbBZFjjGgGUA6NLw09EwE0CqkOc4q9oUmW1yo/edit?usp=sharing"",""แพร่!J80"")"),1)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IFERROR(__xludf.DUMMYFUNCTION("IMPORTRANGE(""https://docs.google.com/spreadsheets/d/11923uPwbBZFjjGgGUA6NLw09EwE0CqkOc4q9oUmW1yo/edit?usp=sharing"",""แพร่!J81"")"),1)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IFERROR(__xludf.DUMMYFUNCTION("IMPORTRANGE(""https://docs.google.com/spreadsheets/d/11923uPwbBZFjjGgGUA6NLw09EwE0CqkOc4q9oUmW1yo/edit?usp=sharing"",""แพร่!J82"")"),1)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IFERROR(__xludf.DUMMYFUNCTION("IMPORTRANGE(""https://docs.google.com/spreadsheets/d/11923uPwbBZFjjGgGUA6NLw09EwE0CqkOc4q9oUmW1yo/edit?usp=sharing"",""แพร่!I83"")"),4)</f>
        <v>4</v>
      </c>
      <c r="J158" s="188">
        <f ca="1">IFERROR(__xludf.DUMMYFUNCTION("IMPORTRANGE(""https://docs.google.com/spreadsheets/d/11923uPwbBZFjjGgGUA6NLw09EwE0CqkOc4q9oUmW1yo/edit?usp=sharing"",""แพร่!J83"")"),2)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IFERROR(__xludf.DUMMYFUNCTION("IMPORTRANGE(""https://docs.google.com/spreadsheets/d/11923uPwbBZFjjGgGUA6NLw09EwE0CqkOc4q9oUmW1yo/edit?usp=sharing"",""แพร่!J84"")"),103)</f>
        <v>103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IFERROR(__xludf.DUMMYFUNCTION("IMPORTRANGE(""https://docs.google.com/spreadsheets/d/11923uPwbBZFjjGgGUA6NLw09EwE0CqkOc4q9oUmW1yo/edit?usp=sharing"",""แพร่!J85"")"),103)</f>
        <v>103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IFERROR(__xludf.DUMMYFUNCTION("IMPORTRANGE(""https://docs.google.com/spreadsheets/d/11923uPwbBZFjjGgGUA6NLw09EwE0CqkOc4q9oUmW1yo/edit?usp=sharing"",""แพร่!J86"")"),0)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IFERROR(__xludf.DUMMYFUNCTION("IMPORTRANGE(""https://docs.google.com/spreadsheets/d/11923uPwbBZFjjGgGUA6NLw09EwE0CqkOc4q9oUmW1yo/edit?usp=sharing"",""แพร่!J87"")"),0)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IFERROR(__xludf.DUMMYFUNCTION("IMPORTRANGE(""https://docs.google.com/spreadsheets/d/11923uPwbBZFjjGgGUA6NLw09EwE0CqkOc4q9oUmW1yo/edit?usp=sharing"",""แพร่!J88"")"),0)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IFERROR(__xludf.DUMMYFUNCTION("IMPORTRANGE(""https://docs.google.com/spreadsheets/d/11923uPwbBZFjjGgGUA6NLw09EwE0CqkOc4q9oUmW1yo/edit?usp=sharing"",""แพร่!I89"")"),3)</f>
        <v>3</v>
      </c>
      <c r="J164" s="284">
        <f ca="1">IFERROR(__xludf.DUMMYFUNCTION("IMPORTRANGE(""https://docs.google.com/spreadsheets/d/11923uPwbBZFjjGgGUA6NLw09EwE0CqkOc4q9oUmW1yo/edit?usp=sharing"",""แพร่!J89"")"),3)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IFERROR(__xludf.DUMMYFUNCTION("IMPORTRANGE(""https://docs.google.com/spreadsheets/d/11923uPwbBZFjjGgGUA6NLw09EwE0CqkOc4q9oUmW1yo/edit?usp=sharing"",""แพร่!J94"")"),0)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IFERROR(__xludf.DUMMYFUNCTION("IMPORTRANGE(""https://docs.google.com/spreadsheets/d/11923uPwbBZFjjGgGUA6NLw09EwE0CqkOc4q9oUmW1yo/edit?usp=sharing"",""แพร่!J95"")"),1)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IFERROR(__xludf.DUMMYFUNCTION("IMPORTRANGE(""https://docs.google.com/spreadsheets/d/11923uPwbBZFjjGgGUA6NLw09EwE0CqkOc4q9oUmW1yo/edit?usp=sharing"",""แพร่!J96"")"),1)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IFERROR(__xludf.DUMMYFUNCTION("IMPORTRANGE(""https://docs.google.com/spreadsheets/d/11923uPwbBZFjjGgGUA6NLw09EwE0CqkOc4q9oUmW1yo/edit?usp=sharing"",""แพร่!J97"")"),1)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IFERROR(__xludf.DUMMYFUNCTION("IMPORTRANGE(""https://docs.google.com/spreadsheets/d/11923uPwbBZFjjGgGUA6NLw09EwE0CqkOc4q9oUmW1yo/edit?usp=sharing"",""แพร่!I98"")"),3)</f>
        <v>3</v>
      </c>
      <c r="J173" s="188">
        <f ca="1">IFERROR(__xludf.DUMMYFUNCTION("IMPORTRANGE(""https://docs.google.com/spreadsheets/d/11923uPwbBZFjjGgGUA6NLw09EwE0CqkOc4q9oUmW1yo/edit?usp=sharing"",""แพร่!J98"")"),3)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IFERROR(__xludf.DUMMYFUNCTION("IMPORTRANGE(""https://docs.google.com/spreadsheets/d/11923uPwbBZFjjGgGUA6NLw09EwE0CqkOc4q9oUmW1yo/edit?usp=sharing"",""แพร่!J99"")"),0)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IFERROR(__xludf.DUMMYFUNCTION("IMPORTRANGE(""https://docs.google.com/spreadsheets/d/11923uPwbBZFjjGgGUA6NLw09EwE0CqkOc4q9oUmW1yo/edit?usp=sharing"",""แพร่!J100"")"),0)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IFERROR(__xludf.DUMMYFUNCTION("IMPORTRANGE(""https://docs.google.com/spreadsheets/d/11923uPwbBZFjjGgGUA6NLw09EwE0CqkOc4q9oUmW1yo/edit?usp=sharing"",""แพร่!I101"")"),0)</f>
        <v>0</v>
      </c>
      <c r="J176" s="284">
        <f ca="1">IFERROR(__xludf.DUMMYFUNCTION("IMPORTRANGE(""https://docs.google.com/spreadsheets/d/11923uPwbBZFjjGgGUA6NLw09EwE0CqkOc4q9oUmW1yo/edit?usp=sharing"",""แพร่!J101"")"),0)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IFERROR(__xludf.DUMMYFUNCTION("IMPORTRANGE(""https://docs.google.com/spreadsheets/d/11923uPwbBZFjjGgGUA6NLw09EwE0CqkOc4q9oUmW1yo/edit?usp=sharing"",""แพร่!J106"")"),0)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IFERROR(__xludf.DUMMYFUNCTION("IMPORTRANGE(""https://docs.google.com/spreadsheets/d/11923uPwbBZFjjGgGUA6NLw09EwE0CqkOc4q9oUmW1yo/edit?usp=sharing"",""แพร่!J107"")"),0)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IFERROR(__xludf.DUMMYFUNCTION("IMPORTRANGE(""https://docs.google.com/spreadsheets/d/11923uPwbBZFjjGgGUA6NLw09EwE0CqkOc4q9oUmW1yo/edit?usp=sharing"",""แพร่!J108"")"),0)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IFERROR(__xludf.DUMMYFUNCTION("IMPORTRANGE(""https://docs.google.com/spreadsheets/d/11923uPwbBZFjjGgGUA6NLw09EwE0CqkOc4q9oUmW1yo/edit?usp=sharing"",""แพร่!J109"")"),0)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IFERROR(__xludf.DUMMYFUNCTION("IMPORTRANGE(""https://docs.google.com/spreadsheets/d/11923uPwbBZFjjGgGUA6NLw09EwE0CqkOc4q9oUmW1yo/edit?usp=sharing"",""แพร่!I110"")"),0)</f>
        <v>0</v>
      </c>
      <c r="J185" s="203">
        <f ca="1">IFERROR(__xludf.DUMMYFUNCTION("IMPORTRANGE(""https://docs.google.com/spreadsheets/d/11923uPwbBZFjjGgGUA6NLw09EwE0CqkOc4q9oUmW1yo/edit?usp=sharing"",""แพร่!J110"")"),0)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IFERROR(__xludf.DUMMYFUNCTION("IMPORTRANGE(""https://docs.google.com/spreadsheets/d/11923uPwbBZFjjGgGUA6NLw09EwE0CqkOc4q9oUmW1yo/edit?usp=sharing"",""แพร่!I111"")"),0)</f>
        <v>0</v>
      </c>
      <c r="J186" s="203">
        <f ca="1">IFERROR(__xludf.DUMMYFUNCTION("IMPORTRANGE(""https://docs.google.com/spreadsheets/d/11923uPwbBZFjjGgGUA6NLw09EwE0CqkOc4q9oUmW1yo/edit?usp=sharing"",""แพร่!J111"")"),0)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IFERROR(__xludf.DUMMYFUNCTION("IMPORTRANGE(""https://docs.google.com/spreadsheets/d/11923uPwbBZFjjGgGUA6NLw09EwE0CqkOc4q9oUmW1yo/edit?usp=sharing"",""แพร่!J112"")"),0)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IFERROR(__xludf.DUMMYFUNCTION("IMPORTRANGE(""https://docs.google.com/spreadsheets/d/11923uPwbBZFjjGgGUA6NLw09EwE0CqkOc4q9oUmW1yo/edit?usp=sharing"",""แพร่!J113"")"),0)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IFERROR(__xludf.DUMMYFUNCTION("IMPORTRANGE(""https://docs.google.com/spreadsheets/d/11923uPwbBZFjjGgGUA6NLw09EwE0CqkOc4q9oUmW1yo/edit?usp=sharing"",""แพร่!I114"")"),50000)</f>
        <v>50000</v>
      </c>
      <c r="J189" s="284">
        <f ca="1">IFERROR(__xludf.DUMMYFUNCTION("IMPORTRANGE(""https://docs.google.com/spreadsheets/d/11923uPwbBZFjjGgGUA6NLw09EwE0CqkOc4q9oUmW1yo/edit?usp=sharing"",""แพร่!J114"")"),0)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IFERROR(__xludf.DUMMYFUNCTION("IMPORTRANGE(""https://docs.google.com/spreadsheets/d/11923uPwbBZFjjGgGUA6NLw09EwE0CqkOc4q9oUmW1yo/edit?usp=sharing"",""แพร่!J119"")"),1)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IFERROR(__xludf.DUMMYFUNCTION("IMPORTRANGE(""https://docs.google.com/spreadsheets/d/11923uPwbBZFjjGgGUA6NLw09EwE0CqkOc4q9oUmW1yo/edit?usp=sharing"",""แพร่!J120"")"),0)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IFERROR(__xludf.DUMMYFUNCTION("IMPORTRANGE(""https://docs.google.com/spreadsheets/d/11923uPwbBZFjjGgGUA6NLw09EwE0CqkOc4q9oUmW1yo/edit?usp=sharing"",""แพร่!J121"")"),0)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IFERROR(__xludf.DUMMYFUNCTION("IMPORTRANGE(""https://docs.google.com/spreadsheets/d/11923uPwbBZFjjGgGUA6NLw09EwE0CqkOc4q9oUmW1yo/edit?usp=sharing"",""แพร่!J122"")"),0)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IFERROR(__xludf.DUMMYFUNCTION("IMPORTRANGE(""https://docs.google.com/spreadsheets/d/11923uPwbBZFjjGgGUA6NLw09EwE0CqkOc4q9oUmW1yo/edit?usp=sharing"",""แพร่!I124"")"),50000)</f>
        <v>50000</v>
      </c>
      <c r="J199" s="188">
        <f ca="1">IFERROR(__xludf.DUMMYFUNCTION("IMPORTRANGE(""https://docs.google.com/spreadsheets/d/11923uPwbBZFjjGgGUA6NLw09EwE0CqkOc4q9oUmW1yo/edit?usp=sharing"",""แพร่!J124"")"),0)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IFERROR(__xludf.DUMMYFUNCTION("IMPORTRANGE(""https://docs.google.com/spreadsheets/d/11923uPwbBZFjjGgGUA6NLw09EwE0CqkOc4q9oUmW1yo/edit?usp=sharing"",""แพร่!I125"")"),50000)</f>
        <v>50000</v>
      </c>
      <c r="J200" s="188">
        <f ca="1">IFERROR(__xludf.DUMMYFUNCTION("IMPORTRANGE(""https://docs.google.com/spreadsheets/d/11923uPwbBZFjjGgGUA6NLw09EwE0CqkOc4q9oUmW1yo/edit?usp=sharing"",""แพร่!J125"")"),0)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IFERROR(__xludf.DUMMYFUNCTION("IMPORTRANGE(""https://docs.google.com/spreadsheets/d/11923uPwbBZFjjGgGUA6NLw09EwE0CqkOc4q9oUmW1yo/edit?usp=sharing"",""แพร่!I126"")"),0)</f>
        <v>0</v>
      </c>
      <c r="J201" s="188">
        <f ca="1">IFERROR(__xludf.DUMMYFUNCTION("IMPORTRANGE(""https://docs.google.com/spreadsheets/d/11923uPwbBZFjjGgGUA6NLw09EwE0CqkOc4q9oUmW1yo/edit?usp=sharing"",""แพร่!J126"")"),0)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IFERROR(__xludf.DUMMYFUNCTION("IMPORTRANGE(""https://docs.google.com/spreadsheets/d/11923uPwbBZFjjGgGUA6NLw09EwE0CqkOc4q9oUmW1yo/edit?usp=sharing"",""แพร่!J127"")"),0)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IFERROR(__xludf.DUMMYFUNCTION("IMPORTRANGE(""https://docs.google.com/spreadsheets/d/11923uPwbBZFjjGgGUA6NLw09EwE0CqkOc4q9oUmW1yo/edit?usp=sharing"",""แพร่!J128"")"),0)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IFERROR(__xludf.DUMMYFUNCTION("IMPORTRANGE(""https://docs.google.com/spreadsheets/d/11923uPwbBZFjjGgGUA6NLw09EwE0CqkOc4q9oUmW1yo/edit?usp=sharing"",""แพร่!I129"")"),0)</f>
        <v>0</v>
      </c>
      <c r="J204" s="284">
        <f ca="1">IFERROR(__xludf.DUMMYFUNCTION("IMPORTRANGE(""https://docs.google.com/spreadsheets/d/11923uPwbBZFjjGgGUA6NLw09EwE0CqkOc4q9oUmW1yo/edit?usp=sharing"",""แพร่!J129"")"),0)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IFERROR(__xludf.DUMMYFUNCTION("IMPORTRANGE(""https://docs.google.com/spreadsheets/d/11923uPwbBZFjjGgGUA6NLw09EwE0CqkOc4q9oUmW1yo/edit?usp=sharing"",""แพร่!J134"")"),0)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IFERROR(__xludf.DUMMYFUNCTION("IMPORTRANGE(""https://docs.google.com/spreadsheets/d/11923uPwbBZFjjGgGUA6NLw09EwE0CqkOc4q9oUmW1yo/edit?usp=sharing"",""แพร่!J135"")"),0)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IFERROR(__xludf.DUMMYFUNCTION("IMPORTRANGE(""https://docs.google.com/spreadsheets/d/11923uPwbBZFjjGgGUA6NLw09EwE0CqkOc4q9oUmW1yo/edit?usp=sharing"",""แพร่!J136"")"),0)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IFERROR(__xludf.DUMMYFUNCTION("IMPORTRANGE(""https://docs.google.com/spreadsheets/d/11923uPwbBZFjjGgGUA6NLw09EwE0CqkOc4q9oUmW1yo/edit?usp=sharing"",""แพร่!J137"")"),0)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IFERROR(__xludf.DUMMYFUNCTION("IMPORTRANGE(""https://docs.google.com/spreadsheets/d/11923uPwbBZFjjGgGUA6NLw09EwE0CqkOc4q9oUmW1yo/edit?usp=sharing"",""แพร่!I138"")"),0)</f>
        <v>0</v>
      </c>
      <c r="J213" s="203">
        <f ca="1">IFERROR(__xludf.DUMMYFUNCTION("IMPORTRANGE(""https://docs.google.com/spreadsheets/d/11923uPwbBZFjjGgGUA6NLw09EwE0CqkOc4q9oUmW1yo/edit?usp=sharing"",""แพร่!J138"")"),0)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IFERROR(__xludf.DUMMYFUNCTION("IMPORTRANGE(""https://docs.google.com/spreadsheets/d/11923uPwbBZFjjGgGUA6NLw09EwE0CqkOc4q9oUmW1yo/edit?usp=sharing"",""แพร่!I140"")"),0)</f>
        <v>0</v>
      </c>
      <c r="J215" s="203">
        <f ca="1">IFERROR(__xludf.DUMMYFUNCTION("IMPORTRANGE(""https://docs.google.com/spreadsheets/d/11923uPwbBZFjjGgGUA6NLw09EwE0CqkOc4q9oUmW1yo/edit?usp=sharing"",""แพร่!J140"")"),0)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IFERROR(__xludf.DUMMYFUNCTION("IMPORTRANGE(""https://docs.google.com/spreadsheets/d/11923uPwbBZFjjGgGUA6NLw09EwE0CqkOc4q9oUmW1yo/edit?usp=sharing"",""แพร่!I141"")"),0)</f>
        <v>0</v>
      </c>
      <c r="J216" s="203">
        <f ca="1">IFERROR(__xludf.DUMMYFUNCTION("IMPORTRANGE(""https://docs.google.com/spreadsheets/d/11923uPwbBZFjjGgGUA6NLw09EwE0CqkOc4q9oUmW1yo/edit?usp=sharing"",""แพร่!J141"")"),0)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IFERROR(__xludf.DUMMYFUNCTION("IMPORTRANGE(""https://docs.google.com/spreadsheets/d/11923uPwbBZFjjGgGUA6NLw09EwE0CqkOc4q9oUmW1yo/edit?usp=sharing"",""แพร่!J142"")"),0)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IFERROR(__xludf.DUMMYFUNCTION("IMPORTRANGE(""https://docs.google.com/spreadsheets/d/11923uPwbBZFjjGgGUA6NLw09EwE0CqkOc4q9oUmW1yo/edit?usp=sharing"",""แพร่!J143"")"),0)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IFERROR(__xludf.DUMMYFUNCTION("IMPORTRANGE(""https://docs.google.com/spreadsheets/d/11923uPwbBZFjjGgGUA6NLw09EwE0CqkOc4q9oUmW1yo/edit?usp=sharing"",""แพร่!I144"")"),15)</f>
        <v>15</v>
      </c>
      <c r="J219" s="267">
        <f ca="1">IFERROR(__xludf.DUMMYFUNCTION("IMPORTRANGE(""https://docs.google.com/spreadsheets/d/11923uPwbBZFjjGgGUA6NLw09EwE0CqkOc4q9oUmW1yo/edit?usp=sharing"",""แพร่!J144"")"),15)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IFERROR(__xludf.DUMMYFUNCTION("IMPORTRANGE(""https://docs.google.com/spreadsheets/d/1Yj_ptqi66GCucihVvJfMjLAmec39IyEx_6qawtMGysU/edit?usp=sharing"",""สบก!BS30"")"),21125)</f>
        <v>21125</v>
      </c>
      <c r="N224" s="168">
        <f ca="1">IFERROR(__xludf.DUMMYFUNCTION("IMPORTRANGE(""https://docs.google.com/spreadsheets/d/1Yj_ptqi66GCucihVvJfMjLAmec39IyEx_6qawtMGysU/edit?usp=sharing"",""สบก!BT30"")"),21125)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IFERROR(__xludf.DUMMYFUNCTION("IMPORTRANGE(""https://docs.google.com/spreadsheets/d/1Yj_ptqi66GCucihVvJfMjLAmec39IyEx_6qawtMGysU/edit?usp=sharing"",""สบก!BO30"")"),0)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IFERROR(__xludf.DUMMYFUNCTION("IMPORTRANGE(""https://docs.google.com/spreadsheets/d/1Yj_ptqi66GCucihVvJfMjLAmec39IyEx_6qawtMGysU/edit?usp=sharing"",""สบก!BP30"")"),21125)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IFERROR(__xludf.DUMMYFUNCTION("IMPORTRANGE(""https://docs.google.com/spreadsheets/d/1Yj_ptqi66GCucihVvJfMjLAmec39IyEx_6qawtMGysU/edit?usp=sharing"",""สบก!BQ30"")"),0)</f>
        <v>0</v>
      </c>
      <c r="M228" s="50"/>
      <c r="N228" s="50">
        <f ca="1">IFERROR(__xludf.DUMMYFUNCTION("IMPORTRANGE(""https://docs.google.com/spreadsheets/d/1Yj_ptqi66GCucihVvJfMjLAmec39IyEx_6qawtMGysU/edit?usp=sharing"",""สบก!BU30"")"),0)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IFERROR(__xludf.DUMMYFUNCTION("IMPORTRANGE(""https://docs.google.com/spreadsheets/d/11923uPwbBZFjjGgGUA6NLw09EwE0CqkOc4q9oUmW1yo/edit?usp=sharing"",""แพร่!I149"")"),15)</f>
        <v>15</v>
      </c>
      <c r="J229" s="267">
        <f ca="1">IFERROR(__xludf.DUMMYFUNCTION("IMPORTRANGE(""https://docs.google.com/spreadsheets/d/11923uPwbBZFjjGgGUA6NLw09EwE0CqkOc4q9oUmW1yo/edit?usp=sharing"",""แพร่!J149"")"),15)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IFERROR(__xludf.DUMMYFUNCTION("IMPORTRANGE(""https://docs.google.com/spreadsheets/d/11923uPwbBZFjjGgGUA6NLw09EwE0CqkOc4q9oUmW1yo/edit?usp=sharing"",""แพร่!J151"")"),0)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IFERROR(__xludf.DUMMYFUNCTION("IMPORTRANGE(""https://docs.google.com/spreadsheets/d/11923uPwbBZFjjGgGUA6NLw09EwE0CqkOc4q9oUmW1yo/edit?usp=sharing"",""แพร่!J152"")"),1)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IFERROR(__xludf.DUMMYFUNCTION("IMPORTRANGE(""https://docs.google.com/spreadsheets/d/11923uPwbBZFjjGgGUA6NLw09EwE0CqkOc4q9oUmW1yo/edit?usp=sharing"",""แพร่!J153"")"),1)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IFERROR(__xludf.DUMMYFUNCTION("IMPORTRANGE(""https://docs.google.com/spreadsheets/d/11923uPwbBZFjjGgGUA6NLw09EwE0CqkOc4q9oUmW1yo/edit?usp=sharing"",""แพร่!J154"")"),1)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IFERROR(__xludf.DUMMYFUNCTION("IMPORTRANGE(""https://docs.google.com/spreadsheets/d/11923uPwbBZFjjGgGUA6NLw09EwE0CqkOc4q9oUmW1yo/edit?usp=sharing"",""แพร่!I155"")"),15)</f>
        <v>15</v>
      </c>
      <c r="J235" s="188">
        <f ca="1">IFERROR(__xludf.DUMMYFUNCTION("IMPORTRANGE(""https://docs.google.com/spreadsheets/d/11923uPwbBZFjjGgGUA6NLw09EwE0CqkOc4q9oUmW1yo/edit?usp=sharing"",""แพร่!J155"")"),15)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IFERROR(__xludf.DUMMYFUNCTION("IMPORTRANGE(""https://docs.google.com/spreadsheets/d/11923uPwbBZFjjGgGUA6NLw09EwE0CqkOc4q9oUmW1yo/edit?usp=sharing"",""แพร่!J156"")"),0)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IFERROR(__xludf.DUMMYFUNCTION("IMPORTRANGE(""https://docs.google.com/spreadsheets/d/11923uPwbBZFjjGgGUA6NLw09EwE0CqkOc4q9oUmW1yo/edit?usp=sharing"",""แพร่!J157"")"),0)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IFERROR(__xludf.DUMMYFUNCTION("IMPORTRANGE(""https://docs.google.com/spreadsheets/d/11923uPwbBZFjjGgGUA6NLw09EwE0CqkOc4q9oUmW1yo/edit?usp=sharing"",""แพร่!I158"")"),0)</f>
        <v>0</v>
      </c>
      <c r="J238" s="267">
        <f ca="1">IFERROR(__xludf.DUMMYFUNCTION("IMPORTRANGE(""https://docs.google.com/spreadsheets/d/11923uPwbBZFjjGgGUA6NLw09EwE0CqkOc4q9oUmW1yo/edit?usp=sharing"",""แพร่!J158"")"),0)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IFERROR(__xludf.DUMMYFUNCTION("IMPORTRANGE(""https://docs.google.com/spreadsheets/d/11923uPwbBZFjjGgGUA6NLw09EwE0CqkOc4q9oUmW1yo/edit?usp=sharing"",""แพร่!J159"")"),"")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IFERROR(__xludf.DUMMYFUNCTION("IMPORTRANGE(""https://docs.google.com/spreadsheets/d/11923uPwbBZFjjGgGUA6NLw09EwE0CqkOc4q9oUmW1yo/edit?usp=sharing"",""แพร่!J161"")"),0)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IFERROR(__xludf.DUMMYFUNCTION("IMPORTRANGE(""https://docs.google.com/spreadsheets/d/11923uPwbBZFjjGgGUA6NLw09EwE0CqkOc4q9oUmW1yo/edit?usp=sharing"",""แพร่!J162"")"),0)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IFERROR(__xludf.DUMMYFUNCTION("IMPORTRANGE(""https://docs.google.com/spreadsheets/d/11923uPwbBZFjjGgGUA6NLw09EwE0CqkOc4q9oUmW1yo/edit?usp=sharing"",""แพร่!J163"")"),0)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IFERROR(__xludf.DUMMYFUNCTION("IMPORTRANGE(""https://docs.google.com/spreadsheets/d/11923uPwbBZFjjGgGUA6NLw09EwE0CqkOc4q9oUmW1yo/edit?usp=sharing"",""แพร่!I164"")"),0)</f>
        <v>0</v>
      </c>
      <c r="J244" s="187">
        <f ca="1">IFERROR(__xludf.DUMMYFUNCTION("IMPORTRANGE(""https://docs.google.com/spreadsheets/d/11923uPwbBZFjjGgGUA6NLw09EwE0CqkOc4q9oUmW1yo/edit?usp=sharing"",""แพร่!J164"")"),0)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IFERROR(__xludf.DUMMYFUNCTION("IMPORTRANGE(""https://docs.google.com/spreadsheets/d/11923uPwbBZFjjGgGUA6NLw09EwE0CqkOc4q9oUmW1yo/edit?usp=sharing"",""แพร่!J165"")"),0)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IFERROR(__xludf.DUMMYFUNCTION("IMPORTRANGE(""https://docs.google.com/spreadsheets/d/11923uPwbBZFjjGgGUA6NLw09EwE0CqkOc4q9oUmW1yo/edit?usp=sharing"",""แพร่!J166"")"),0)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IFERROR(__xludf.DUMMYFUNCTION("IMPORTRANGE(""https://docs.google.com/spreadsheets/d/11923uPwbBZFjjGgGUA6NLw09EwE0CqkOc4q9oUmW1yo/edit?usp=sharing"",""แพร่!I169"")"),30)</f>
        <v>30</v>
      </c>
      <c r="J249" s="316">
        <f ca="1">IFERROR(__xludf.DUMMYFUNCTION("IMPORTRANGE(""https://docs.google.com/spreadsheets/d/11923uPwbBZFjjGgGUA6NLw09EwE0CqkOc4q9oUmW1yo/edit?usp=sharing"",""แพร่!J169"")"),30)</f>
        <v>30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217000</v>
      </c>
      <c r="M250" s="152">
        <f t="shared" ca="1" si="77"/>
        <v>195000</v>
      </c>
      <c r="N250" s="152">
        <f t="shared" ca="1" si="77"/>
        <v>170298</v>
      </c>
      <c r="O250" s="151">
        <f t="shared" ref="O250:O252" ca="1" si="78">IF(L250&gt;0,N250*100/L250,0)</f>
        <v>78.478341013824888</v>
      </c>
      <c r="P250" s="151">
        <f t="shared" ref="P250:P252" ca="1" si="79">IF(M250&gt;0,N250*100/M250,0)</f>
        <v>87.332307692307694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217000</v>
      </c>
      <c r="M252" s="88">
        <f t="shared" ca="1" si="81"/>
        <v>195000</v>
      </c>
      <c r="N252" s="88">
        <f t="shared" ca="1" si="81"/>
        <v>170298</v>
      </c>
      <c r="O252" s="156">
        <f t="shared" ca="1" si="78"/>
        <v>78.478341013824888</v>
      </c>
      <c r="P252" s="156">
        <f t="shared" ca="1" si="79"/>
        <v>87.332307692307694</v>
      </c>
    </row>
    <row r="253" spans="1:16" ht="21.75" customHeight="1" x14ac:dyDescent="0.45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217000</v>
      </c>
      <c r="M254" s="167">
        <f ca="1">IFERROR(__xludf.DUMMYFUNCTION("IMPORTRANGE(""https://docs.google.com/spreadsheets/d/1Yj_ptqi66GCucihVvJfMjLAmec39IyEx_6qawtMGysU/edit?usp=sharing"",""สบก!CB30"")"),195000)</f>
        <v>195000</v>
      </c>
      <c r="N254" s="168">
        <f ca="1">IFERROR(__xludf.DUMMYFUNCTION("IMPORTRANGE(""https://docs.google.com/spreadsheets/d/1Yj_ptqi66GCucihVvJfMjLAmec39IyEx_6qawtMGysU/edit?usp=sharing"",""สบก!CC30"")"),170298)</f>
        <v>170298</v>
      </c>
      <c r="O254" s="168">
        <f ca="1">IF(L254&gt;0,N254*100/L254,0)</f>
        <v>78.478341013824888</v>
      </c>
      <c r="P254" s="168">
        <f ca="1">IF(M254&gt;0,N254*100/M254,0)</f>
        <v>87.332307692307694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IFERROR(__xludf.DUMMYFUNCTION("IMPORTRANGE(""https://docs.google.com/spreadsheets/d/1Yj_ptqi66GCucihVvJfMjLAmec39IyEx_6qawtMGysU/edit?usp=sharing"",""สบก!BX30"")"),0)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IFERROR(__xludf.DUMMYFUNCTION("IMPORTRANGE(""https://docs.google.com/spreadsheets/d/1Yj_ptqi66GCucihVvJfMjLAmec39IyEx_6qawtMGysU/edit?usp=sharing"",""สบก!BY30"")"),217000)</f>
        <v>217000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IFERROR(__xludf.DUMMYFUNCTION("IMPORTRANGE(""https://docs.google.com/spreadsheets/d/1Yj_ptqi66GCucihVvJfMjLAmec39IyEx_6qawtMGysU/edit?usp=sharing"",""สบก!BZ30"")"),0)</f>
        <v>0</v>
      </c>
      <c r="M258" s="50"/>
      <c r="N258" s="50">
        <f ca="1">IFERROR(__xludf.DUMMYFUNCTION("IMPORTRANGE(""https://docs.google.com/spreadsheets/d/1Yj_ptqi66GCucihVvJfMjLAmec39IyEx_6qawtMGysU/edit?usp=sharing"",""สบก!CD30"")"),0)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IFERROR(__xludf.DUMMYFUNCTION("IMPORTRANGE(""https://docs.google.com/spreadsheets/d/11923uPwbBZFjjGgGUA6NLw09EwE0CqkOc4q9oUmW1yo/edit?usp=sharing"",""แพร่!J175"")"),0)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IFERROR(__xludf.DUMMYFUNCTION("IMPORTRANGE(""https://docs.google.com/spreadsheets/d/11923uPwbBZFjjGgGUA6NLw09EwE0CqkOc4q9oUmW1yo/edit?usp=sharing"",""แพร่!J176"")"),1)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IFERROR(__xludf.DUMMYFUNCTION("IMPORTRANGE(""https://docs.google.com/spreadsheets/d/11923uPwbBZFjjGgGUA6NLw09EwE0CqkOc4q9oUmW1yo/edit?usp=sharing"",""แพร่!J177"")"),1)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IFERROR(__xludf.DUMMYFUNCTION("IMPORTRANGE(""https://docs.google.com/spreadsheets/d/11923uPwbBZFjjGgGUA6NLw09EwE0CqkOc4q9oUmW1yo/edit?usp=sharing"",""แพร่!J178"")"),1)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IFERROR(__xludf.DUMMYFUNCTION("IMPORTRANGE(""https://docs.google.com/spreadsheets/d/11923uPwbBZFjjGgGUA6NLw09EwE0CqkOc4q9oUmW1yo/edit?usp=sharing"",""แพร่!I179"")"),1)</f>
        <v>1</v>
      </c>
      <c r="J264" s="188">
        <f ca="1">IFERROR(__xludf.DUMMYFUNCTION("IMPORTRANGE(""https://docs.google.com/spreadsheets/d/11923uPwbBZFjjGgGUA6NLw09EwE0CqkOc4q9oUmW1yo/edit?usp=sharing"",""แพร่!J179"")"),1)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IFERROR(__xludf.DUMMYFUNCTION("IMPORTRANGE(""https://docs.google.com/spreadsheets/d/11923uPwbBZFjjGgGUA6NLw09EwE0CqkOc4q9oUmW1yo/edit?usp=sharing"",""แพร่!I180"")"),30)</f>
        <v>30</v>
      </c>
      <c r="J265" s="188">
        <f ca="1">IFERROR(__xludf.DUMMYFUNCTION("IMPORTRANGE(""https://docs.google.com/spreadsheets/d/11923uPwbBZFjjGgGUA6NLw09EwE0CqkOc4q9oUmW1yo/edit?usp=sharing"",""แพร่!J180"")"),30)</f>
        <v>30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IFERROR(__xludf.DUMMYFUNCTION("IMPORTRANGE(""https://docs.google.com/spreadsheets/d/11923uPwbBZFjjGgGUA6NLw09EwE0CqkOc4q9oUmW1yo/edit?usp=sharing"",""แพร่!I181"")"),30)</f>
        <v>30</v>
      </c>
      <c r="J266" s="188">
        <f ca="1">IFERROR(__xludf.DUMMYFUNCTION("IMPORTRANGE(""https://docs.google.com/spreadsheets/d/11923uPwbBZFjjGgGUA6NLw09EwE0CqkOc4q9oUmW1yo/edit?usp=sharing"",""แพร่!J181"")"),30)</f>
        <v>30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IFERROR(__xludf.DUMMYFUNCTION("IMPORTRANGE(""https://docs.google.com/spreadsheets/d/11923uPwbBZFjjGgGUA6NLw09EwE0CqkOc4q9oUmW1yo/edit?usp=sharing"",""แพร่!I182"")"),1)</f>
        <v>1</v>
      </c>
      <c r="J267" s="188">
        <f ca="1">IFERROR(__xludf.DUMMYFUNCTION("IMPORTRANGE(""https://docs.google.com/spreadsheets/d/11923uPwbBZFjjGgGUA6NLw09EwE0CqkOc4q9oUmW1yo/edit?usp=sharing"",""แพร่!J182"")"),1)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IFERROR(__xludf.DUMMYFUNCTION("IMPORTRANGE(""https://docs.google.com/spreadsheets/d/11923uPwbBZFjjGgGUA6NLw09EwE0CqkOc4q9oUmW1yo/edit?usp=sharing"",""แพร่!J183"")"),0)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IFERROR(__xludf.DUMMYFUNCTION("IMPORTRANGE(""https://docs.google.com/spreadsheets/d/11923uPwbBZFjjGgGUA6NLw09EwE0CqkOc4q9oUmW1yo/edit?usp=sharing"",""แพร่!J184"")"),0)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IFERROR(__xludf.DUMMYFUNCTION("IMPORTRANGE(""https://docs.google.com/spreadsheets/d/11923uPwbBZFjjGgGUA6NLw09EwE0CqkOc4q9oUmW1yo/edit?usp=sharing"",""แพร่!I185"")"),20)</f>
        <v>20</v>
      </c>
      <c r="J270" s="316">
        <f ca="1">IFERROR(__xludf.DUMMYFUNCTION("IMPORTRANGE(""https://docs.google.com/spreadsheets/d/11923uPwbBZFjjGgGUA6NLw09EwE0CqkOc4q9oUmW1yo/edit?usp=sharing"",""แพร่!J185"")"),20)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205700</v>
      </c>
      <c r="M271" s="152">
        <f t="shared" ca="1" si="83"/>
        <v>132000</v>
      </c>
      <c r="N271" s="152">
        <f t="shared" ca="1" si="83"/>
        <v>138682</v>
      </c>
      <c r="O271" s="151">
        <f t="shared" ref="O271:O273" ca="1" si="84">IF(L271&gt;0,N271*100/L271,0)</f>
        <v>67.419543023821092</v>
      </c>
      <c r="P271" s="151">
        <f t="shared" ref="P271:P273" ca="1" si="85">IF(M271&gt;0,N271*100/M271,0)</f>
        <v>105.06212121212121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205700</v>
      </c>
      <c r="M273" s="88">
        <f t="shared" ca="1" si="87"/>
        <v>132000</v>
      </c>
      <c r="N273" s="88">
        <f t="shared" ca="1" si="87"/>
        <v>138682</v>
      </c>
      <c r="O273" s="156">
        <f t="shared" ca="1" si="84"/>
        <v>67.419543023821092</v>
      </c>
      <c r="P273" s="156">
        <f t="shared" ca="1" si="85"/>
        <v>105.06212121212121</v>
      </c>
    </row>
    <row r="274" spans="1:16" ht="21.75" customHeight="1" x14ac:dyDescent="0.45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205700</v>
      </c>
      <c r="M275" s="167">
        <f ca="1">IFERROR(__xludf.DUMMYFUNCTION("IMPORTRANGE(""https://docs.google.com/spreadsheets/d/1Yj_ptqi66GCucihVvJfMjLAmec39IyEx_6qawtMGysU/edit?usp=sharing"",""สบก!CK30"")"),132000)</f>
        <v>132000</v>
      </c>
      <c r="N275" s="168">
        <f ca="1">IFERROR(__xludf.DUMMYFUNCTION("IMPORTRANGE(""https://docs.google.com/spreadsheets/d/1Yj_ptqi66GCucihVvJfMjLAmec39IyEx_6qawtMGysU/edit?usp=sharing"",""สบก!CL30"")"),138682)</f>
        <v>138682</v>
      </c>
      <c r="O275" s="168">
        <f ca="1">IF(L275&gt;0,N275*100/L275,0)</f>
        <v>67.419543023821092</v>
      </c>
      <c r="P275" s="168">
        <f ca="1">IF(M275&gt;0,N275*100/M275,0)</f>
        <v>105.06212121212121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IFERROR(__xludf.DUMMYFUNCTION("IMPORTRANGE(""https://docs.google.com/spreadsheets/d/1Yj_ptqi66GCucihVvJfMjLAmec39IyEx_6qawtMGysU/edit?usp=sharing"",""สบก!CG30"")"),132000)</f>
        <v>132000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IFERROR(__xludf.DUMMYFUNCTION("IMPORTRANGE(""https://docs.google.com/spreadsheets/d/1Yj_ptqi66GCucihVvJfMjLAmec39IyEx_6qawtMGysU/edit?usp=sharing"",""สบก!CH30"")"),73700)</f>
        <v>73700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IFERROR(__xludf.DUMMYFUNCTION("IMPORTRANGE(""https://docs.google.com/spreadsheets/d/1Yj_ptqi66GCucihVvJfMjLAmec39IyEx_6qawtMGysU/edit?usp=sharing"",""สบก!CI30"")"),0)</f>
        <v>0</v>
      </c>
      <c r="M279" s="50"/>
      <c r="N279" s="50">
        <f ca="1">IFERROR(__xludf.DUMMYFUNCTION("IMPORTRANGE(""https://docs.google.com/spreadsheets/d/1Yj_ptqi66GCucihVvJfMjLAmec39IyEx_6qawtMGysU/edit?usp=sharing"",""สบก!CM30"")"),0)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IFERROR(__xludf.DUMMYFUNCTION("IMPORTRANGE(""https://docs.google.com/spreadsheets/d/11923uPwbBZFjjGgGUA6NLw09EwE0CqkOc4q9oUmW1yo/edit?usp=sharing"",""แพร่!J191"")"),0)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IFERROR(__xludf.DUMMYFUNCTION("IMPORTRANGE(""https://docs.google.com/spreadsheets/d/11923uPwbBZFjjGgGUA6NLw09EwE0CqkOc4q9oUmW1yo/edit?usp=sharing"",""แพร่!J192"")"),1)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IFERROR(__xludf.DUMMYFUNCTION("IMPORTRANGE(""https://docs.google.com/spreadsheets/d/11923uPwbBZFjjGgGUA6NLw09EwE0CqkOc4q9oUmW1yo/edit?usp=sharing"",""แพร่!J193"")"),1)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IFERROR(__xludf.DUMMYFUNCTION("IMPORTRANGE(""https://docs.google.com/spreadsheets/d/11923uPwbBZFjjGgGUA6NLw09EwE0CqkOc4q9oUmW1yo/edit?usp=sharing"",""แพร่!J194"")"),1)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IFERROR(__xludf.DUMMYFUNCTION("IMPORTRANGE(""https://docs.google.com/spreadsheets/d/11923uPwbBZFjjGgGUA6NLw09EwE0CqkOc4q9oUmW1yo/edit?usp=sharing"",""แพร่!I195"")"),20)</f>
        <v>20</v>
      </c>
      <c r="J285" s="188">
        <f ca="1">IFERROR(__xludf.DUMMYFUNCTION("IMPORTRANGE(""https://docs.google.com/spreadsheets/d/11923uPwbBZFjjGgGUA6NLw09EwE0CqkOc4q9oUmW1yo/edit?usp=sharing"",""แพร่!J195"")"),20)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IFERROR(__xludf.DUMMYFUNCTION("IMPORTRANGE(""https://docs.google.com/spreadsheets/d/11923uPwbBZFjjGgGUA6NLw09EwE0CqkOc4q9oUmW1yo/edit?usp=sharing"",""แพร่!J196"")"),0)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IFERROR(__xludf.DUMMYFUNCTION("IMPORTRANGE(""https://docs.google.com/spreadsheets/d/11923uPwbBZFjjGgGUA6NLw09EwE0CqkOc4q9oUmW1yo/edit?usp=sharing"",""แพร่!J197"")"),0)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IFERROR(__xludf.DUMMYFUNCTION("IMPORTRANGE(""https://docs.google.com/spreadsheets/d/11923uPwbBZFjjGgGUA6NLw09EwE0CqkOc4q9oUmW1yo/edit?usp=sharing"",""แพร่!I199"")"),0)</f>
        <v>0</v>
      </c>
      <c r="J289" s="316">
        <f ca="1">IFERROR(__xludf.DUMMYFUNCTION("IMPORTRANGE(""https://docs.google.com/spreadsheets/d/11923uPwbBZFjjGgGUA6NLw09EwE0CqkOc4q9oUmW1yo/edit?usp=sharing"",""แพร่!J199"")"),0)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IFERROR(__xludf.DUMMYFUNCTION("IMPORTRANGE(""https://docs.google.com/spreadsheets/d/1Yj_ptqi66GCucihVvJfMjLAmec39IyEx_6qawtMGysU/edit?usp=sharing"",""สบก!CT30"")"),0)</f>
        <v>0</v>
      </c>
      <c r="N294" s="168">
        <f ca="1">IFERROR(__xludf.DUMMYFUNCTION("IMPORTRANGE(""https://docs.google.com/spreadsheets/d/1Yj_ptqi66GCucihVvJfMjLAmec39IyEx_6qawtMGysU/edit?usp=sharing"",""สบก!CU30"")"),0)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IFERROR(__xludf.DUMMYFUNCTION("IMPORTRANGE(""https://docs.google.com/spreadsheets/d/1Yj_ptqi66GCucihVvJfMjLAmec39IyEx_6qawtMGysU/edit?usp=sharing"",""สบก!CP30"")"),0)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IFERROR(__xludf.DUMMYFUNCTION("IMPORTRANGE(""https://docs.google.com/spreadsheets/d/1Yj_ptqi66GCucihVvJfMjLAmec39IyEx_6qawtMGysU/edit?usp=sharing"",""สบก!CQ30"")"),0)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IFERROR(__xludf.DUMMYFUNCTION("IMPORTRANGE(""https://docs.google.com/spreadsheets/d/1Yj_ptqi66GCucihVvJfMjLAmec39IyEx_6qawtMGysU/edit?usp=sharing"",""สบก!CR30"")"),0)</f>
        <v>0</v>
      </c>
      <c r="M298" s="50"/>
      <c r="N298" s="50">
        <f ca="1">IFERROR(__xludf.DUMMYFUNCTION("IMPORTRANGE(""https://docs.google.com/spreadsheets/d/1Yj_ptqi66GCucihVvJfMjLAmec39IyEx_6qawtMGysU/edit?usp=sharing"",""สบก!CV30"")"),0)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IFERROR(__xludf.DUMMYFUNCTION("IMPORTRANGE(""https://docs.google.com/spreadsheets/d/11923uPwbBZFjjGgGUA6NLw09EwE0CqkOc4q9oUmW1yo/edit?usp=sharing"",""แพร่!J205"")"),0)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IFERROR(__xludf.DUMMYFUNCTION("IMPORTRANGE(""https://docs.google.com/spreadsheets/d/11923uPwbBZFjjGgGUA6NLw09EwE0CqkOc4q9oUmW1yo/edit?usp=sharing"",""แพร่!J206"")"),0)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IFERROR(__xludf.DUMMYFUNCTION("IMPORTRANGE(""https://docs.google.com/spreadsheets/d/11923uPwbBZFjjGgGUA6NLw09EwE0CqkOc4q9oUmW1yo/edit?usp=sharing"",""แพร่!J207"")"),0)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IFERROR(__xludf.DUMMYFUNCTION("IMPORTRANGE(""https://docs.google.com/spreadsheets/d/11923uPwbBZFjjGgGUA6NLw09EwE0CqkOc4q9oUmW1yo/edit?usp=sharing"",""แพร่!J208"")"),0)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IFERROR(__xludf.DUMMYFUNCTION("IMPORTRANGE(""https://docs.google.com/spreadsheets/d/11923uPwbBZFjjGgGUA6NLw09EwE0CqkOc4q9oUmW1yo/edit?usp=sharing"",""แพร่!I209"")"),0)</f>
        <v>0</v>
      </c>
      <c r="J304" s="203">
        <f ca="1">IFERROR(__xludf.DUMMYFUNCTION("IMPORTRANGE(""https://docs.google.com/spreadsheets/d/11923uPwbBZFjjGgGUA6NLw09EwE0CqkOc4q9oUmW1yo/edit?usp=sharing"",""แพร่!J209"")"),0)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IFERROR(__xludf.DUMMYFUNCTION("IMPORTRANGE(""https://docs.google.com/spreadsheets/d/11923uPwbBZFjjGgGUA6NLw09EwE0CqkOc4q9oUmW1yo/edit?usp=sharing"",""แพร่!I211"")"),0)</f>
        <v>0</v>
      </c>
      <c r="J306" s="203">
        <f ca="1">IFERROR(__xludf.DUMMYFUNCTION("IMPORTRANGE(""https://docs.google.com/spreadsheets/d/11923uPwbBZFjjGgGUA6NLw09EwE0CqkOc4q9oUmW1yo/edit?usp=sharing"",""แพร่!J211"")"),0)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IFERROR(__xludf.DUMMYFUNCTION("IMPORTRANGE(""https://docs.google.com/spreadsheets/d/11923uPwbBZFjjGgGUA6NLw09EwE0CqkOc4q9oUmW1yo/edit?usp=sharing"",""แพร่!J212"")"),0)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IFERROR(__xludf.DUMMYFUNCTION("IMPORTRANGE(""https://docs.google.com/spreadsheets/d/11923uPwbBZFjjGgGUA6NLw09EwE0CqkOc4q9oUmW1yo/edit?usp=sharing"",""แพร่!J213"")"),0)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IFERROR(__xludf.DUMMYFUNCTION("IMPORTRANGE(""https://docs.google.com/spreadsheets/d/11923uPwbBZFjjGgGUA6NLw09EwE0CqkOc4q9oUmW1yo/edit?usp=sharing"",""แพร่!I214"")"),0)</f>
        <v>0</v>
      </c>
      <c r="J309" s="333">
        <f ca="1">IFERROR(__xludf.DUMMYFUNCTION("IMPORTRANGE(""https://docs.google.com/spreadsheets/d/11923uPwbBZFjjGgGUA6NLw09EwE0CqkOc4q9oUmW1yo/edit?usp=sharing"",""แพร่!J214"")"),0)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IFERROR(__xludf.DUMMYFUNCTION("IMPORTRANGE(""https://docs.google.com/spreadsheets/d/1Yj_ptqi66GCucihVvJfMjLAmec39IyEx_6qawtMGysU/edit?usp=sharing"",""สบก!DC30"")"),0)</f>
        <v>0</v>
      </c>
      <c r="N314" s="168">
        <f ca="1">IFERROR(__xludf.DUMMYFUNCTION("IMPORTRANGE(""https://docs.google.com/spreadsheets/d/1Yj_ptqi66GCucihVvJfMjLAmec39IyEx_6qawtMGysU/edit?usp=sharing"",""สบก!DD30"")"),0)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IFERROR(__xludf.DUMMYFUNCTION("IMPORTRANGE(""https://docs.google.com/spreadsheets/d/1Yj_ptqi66GCucihVvJfMjLAmec39IyEx_6qawtMGysU/edit?usp=sharing"",""สบก!CY30"")"),0)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IFERROR(__xludf.DUMMYFUNCTION("IMPORTRANGE(""https://docs.google.com/spreadsheets/d/1Yj_ptqi66GCucihVvJfMjLAmec39IyEx_6qawtMGysU/edit?usp=sharing"",""สบก!CZ30"")"),0)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IFERROR(__xludf.DUMMYFUNCTION("IMPORTRANGE(""https://docs.google.com/spreadsheets/d/1Yj_ptqi66GCucihVvJfMjLAmec39IyEx_6qawtMGysU/edit?usp=sharing"",""สบก!DA30"")"),0)</f>
        <v>0</v>
      </c>
      <c r="M318" s="50"/>
      <c r="N318" s="50">
        <f ca="1">IFERROR(__xludf.DUMMYFUNCTION("IMPORTRANGE(""https://docs.google.com/spreadsheets/d/1Yj_ptqi66GCucihVvJfMjLAmec39IyEx_6qawtMGysU/edit?usp=sharing"",""สบก!DE30"")"),0)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IFERROR(__xludf.DUMMYFUNCTION("IMPORTRANGE(""https://docs.google.com/spreadsheets/d/11923uPwbBZFjjGgGUA6NLw09EwE0CqkOc4q9oUmW1yo/edit?usp=sharing"",""แพร่!J220"")"),0)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IFERROR(__xludf.DUMMYFUNCTION("IMPORTRANGE(""https://docs.google.com/spreadsheets/d/11923uPwbBZFjjGgGUA6NLw09EwE0CqkOc4q9oUmW1yo/edit?usp=sharing"",""แพร่!J221"")"),0)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IFERROR(__xludf.DUMMYFUNCTION("IMPORTRANGE(""https://docs.google.com/spreadsheets/d/11923uPwbBZFjjGgGUA6NLw09EwE0CqkOc4q9oUmW1yo/edit?usp=sharing"",""แพร่!J222"")"),0)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IFERROR(__xludf.DUMMYFUNCTION("IMPORTRANGE(""https://docs.google.com/spreadsheets/d/11923uPwbBZFjjGgGUA6NLw09EwE0CqkOc4q9oUmW1yo/edit?usp=sharing"",""แพร่!J223"")"),0)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IFERROR(__xludf.DUMMYFUNCTION("IMPORTRANGE(""https://docs.google.com/spreadsheets/d/11923uPwbBZFjjGgGUA6NLw09EwE0CqkOc4q9oUmW1yo/edit?usp=sharing"",""แพร่!I224"")"),0)</f>
        <v>0</v>
      </c>
      <c r="J324" s="203">
        <f ca="1">IFERROR(__xludf.DUMMYFUNCTION("IMPORTRANGE(""https://docs.google.com/spreadsheets/d/11923uPwbBZFjjGgGUA6NLw09EwE0CqkOc4q9oUmW1yo/edit?usp=sharing"",""แพร่!J224"")"),0)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IFERROR(__xludf.DUMMYFUNCTION("IMPORTRANGE(""https://docs.google.com/spreadsheets/d/11923uPwbBZFjjGgGUA6NLw09EwE0CqkOc4q9oUmW1yo/edit?usp=sharing"",""แพร่!J225"")"),0)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IFERROR(__xludf.DUMMYFUNCTION("IMPORTRANGE(""https://docs.google.com/spreadsheets/d/11923uPwbBZFjjGgGUA6NLw09EwE0CqkOc4q9oUmW1yo/edit?usp=sharing"",""แพร่!J226"")"),0)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IFERROR(__xludf.DUMMYFUNCTION("IMPORTRANGE(""https://docs.google.com/spreadsheets/d/11923uPwbBZFjjGgGUA6NLw09EwE0CqkOc4q9oUmW1yo/edit?usp=sharing"",""แพร่!I228"")"),360)</f>
        <v>360</v>
      </c>
      <c r="J328" s="339">
        <f ca="1">IFERROR(__xludf.DUMMYFUNCTION("IMPORTRANGE(""https://docs.google.com/spreadsheets/d/11923uPwbBZFjjGgGUA6NLw09EwE0CqkOc4q9oUmW1yo/edit?usp=sharing"",""แพร่!J228"")"),470)</f>
        <v>470</v>
      </c>
      <c r="K328" s="317">
        <f ca="1">IF(I328&gt;0,J328*100/I328,0)</f>
        <v>130.55555555555554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833180</v>
      </c>
      <c r="M329" s="152">
        <f t="shared" ca="1" si="98"/>
        <v>656620</v>
      </c>
      <c r="N329" s="152">
        <f t="shared" ca="1" si="98"/>
        <v>631206.59</v>
      </c>
      <c r="O329" s="151">
        <f t="shared" ref="O329:O331" ca="1" si="99">IF(L329&gt;0,N329*100/L329,0)</f>
        <v>75.758730406394776</v>
      </c>
      <c r="P329" s="151">
        <f t="shared" ref="P329:P331" ca="1" si="100">IF(M329&gt;0,N329*100/M329,0)</f>
        <v>96.1296625140873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833180</v>
      </c>
      <c r="M331" s="88">
        <f t="shared" ca="1" si="102"/>
        <v>656620</v>
      </c>
      <c r="N331" s="88">
        <f t="shared" ca="1" si="102"/>
        <v>631206.59</v>
      </c>
      <c r="O331" s="156">
        <f t="shared" ca="1" si="99"/>
        <v>75.758730406394776</v>
      </c>
      <c r="P331" s="156">
        <f t="shared" ca="1" si="100"/>
        <v>96.1296625140873</v>
      </c>
    </row>
    <row r="332" spans="1:16" ht="21.75" customHeight="1" x14ac:dyDescent="0.45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823180</v>
      </c>
      <c r="M333" s="167">
        <f ca="1">IFERROR(__xludf.DUMMYFUNCTION("IMPORTRANGE(""https://docs.google.com/spreadsheets/d/1Yj_ptqi66GCucihVvJfMjLAmec39IyEx_6qawtMGysU/edit?usp=sharing"",""สบก!DL30"")"),646620)</f>
        <v>646620</v>
      </c>
      <c r="N333" s="168">
        <f ca="1">IFERROR(__xludf.DUMMYFUNCTION("IMPORTRANGE(""https://docs.google.com/spreadsheets/d/1Yj_ptqi66GCucihVvJfMjLAmec39IyEx_6qawtMGysU/edit?usp=sharing"",""สบก!DM30"")"),621206.59)</f>
        <v>621206.59</v>
      </c>
      <c r="O333" s="168">
        <f ca="1">IF(L333&gt;0,N333*100/L333,0)</f>
        <v>75.464247187735367</v>
      </c>
      <c r="P333" s="168">
        <f ca="1">IF(M333&gt;0,N333*100/M333,0)</f>
        <v>96.069807614982523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IFERROR(__xludf.DUMMYFUNCTION("IMPORTRANGE(""https://docs.google.com/spreadsheets/d/1Yj_ptqi66GCucihVvJfMjLAmec39IyEx_6qawtMGysU/edit?usp=sharing"",""สบก!DH30"")"),491200)</f>
        <v>491200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IFERROR(__xludf.DUMMYFUNCTION("IMPORTRANGE(""https://docs.google.com/spreadsheets/d/1Yj_ptqi66GCucihVvJfMjLAmec39IyEx_6qawtMGysU/edit?usp=sharing"",""สบก!DI30"")"),331980)</f>
        <v>331980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IFERROR(__xludf.DUMMYFUNCTION("IMPORTRANGE(""https://docs.google.com/spreadsheets/d/1Yj_ptqi66GCucihVvJfMjLAmec39IyEx_6qawtMGysU/edit?usp=sharing"",""สบก!DJ30"")"),10000)</f>
        <v>10000</v>
      </c>
      <c r="M337" s="50">
        <f ca="1">L337</f>
        <v>10000</v>
      </c>
      <c r="N337" s="50">
        <f ca="1">IFERROR(__xludf.DUMMYFUNCTION("IMPORTRANGE(""https://docs.google.com/spreadsheets/d/1Yj_ptqi66GCucihVvJfMjLAmec39IyEx_6qawtMGysU/edit?usp=sharing"",""สบก!DN30"")"),10000)</f>
        <v>10000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IFERROR(__xludf.DUMMYFUNCTION("IMPORTRANGE(""https://docs.google.com/spreadsheets/d/11923uPwbBZFjjGgGUA6NLw09EwE0CqkOc4q9oUmW1yo/edit?usp=sharing"",""แพร่!I234"")"),0)</f>
        <v>0</v>
      </c>
      <c r="J339" s="187">
        <f ca="1">IFERROR(__xludf.DUMMYFUNCTION("IMPORTRANGE(""https://docs.google.com/spreadsheets/d/11923uPwbBZFjjGgGUA6NLw09EwE0CqkOc4q9oUmW1yo/edit?usp=sharing"",""แพร่!J234"")"),141)</f>
        <v>141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IFERROR(__xludf.DUMMYFUNCTION("IMPORTRANGE(""https://docs.google.com/spreadsheets/d/11923uPwbBZFjjGgGUA6NLw09EwE0CqkOc4q9oUmW1yo/edit?usp=sharing"",""แพร่!I235"")"),1300)</f>
        <v>1300</v>
      </c>
      <c r="J340" s="187">
        <f ca="1">IFERROR(__xludf.DUMMYFUNCTION("IMPORTRANGE(""https://docs.google.com/spreadsheets/d/11923uPwbBZFjjGgGUA6NLw09EwE0CqkOc4q9oUmW1yo/edit?usp=sharing"",""แพร่!J235"")"),1035.82)</f>
        <v>1035.82</v>
      </c>
      <c r="K340" s="342">
        <f t="shared" ca="1" si="103"/>
        <v>79.678461538461534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IFERROR(__xludf.DUMMYFUNCTION("IMPORTRANGE(""https://docs.google.com/spreadsheets/d/11923uPwbBZFjjGgGUA6NLw09EwE0CqkOc4q9oUmW1yo/edit?usp=sharing"",""แพร่!I236"")"),360)</f>
        <v>360</v>
      </c>
      <c r="J341" s="187">
        <f ca="1">IFERROR(__xludf.DUMMYFUNCTION("IMPORTRANGE(""https://docs.google.com/spreadsheets/d/11923uPwbBZFjjGgGUA6NLw09EwE0CqkOc4q9oUmW1yo/edit?usp=sharing"",""แพร่!J236"")"),560)</f>
        <v>560</v>
      </c>
      <c r="K341" s="342">
        <f t="shared" ca="1" si="103"/>
        <v>155.55555555555554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IFERROR(__xludf.DUMMYFUNCTION("IMPORTRANGE(""https://docs.google.com/spreadsheets/d/11923uPwbBZFjjGgGUA6NLw09EwE0CqkOc4q9oUmW1yo/edit?usp=sharing"",""แพร่!I237"")"),0)</f>
        <v>0</v>
      </c>
      <c r="J342" s="187">
        <f ca="1">IFERROR(__xludf.DUMMYFUNCTION("IMPORTRANGE(""https://docs.google.com/spreadsheets/d/11923uPwbBZFjjGgGUA6NLw09EwE0CqkOc4q9oUmW1yo/edit?usp=sharing"",""แพร่!J237"")"),4800.69)</f>
        <v>4800.6899999999996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IFERROR(__xludf.DUMMYFUNCTION("IMPORTRANGE(""https://docs.google.com/spreadsheets/d/11923uPwbBZFjjGgGUA6NLw09EwE0CqkOc4q9oUmW1yo/edit?usp=sharing"",""แพร่!I238"")"),360)</f>
        <v>360</v>
      </c>
      <c r="J343" s="187">
        <f ca="1">IFERROR(__xludf.DUMMYFUNCTION("IMPORTRANGE(""https://docs.google.com/spreadsheets/d/11923uPwbBZFjjGgGUA6NLw09EwE0CqkOc4q9oUmW1yo/edit?usp=sharing"",""แพร่!J238"")"),1)</f>
        <v>1</v>
      </c>
      <c r="K343" s="342">
        <f t="shared" ca="1" si="103"/>
        <v>0.27777777777777779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IFERROR(__xludf.DUMMYFUNCTION("IMPORTRANGE(""https://docs.google.com/spreadsheets/d/11923uPwbBZFjjGgGUA6NLw09EwE0CqkOc4q9oUmW1yo/edit?usp=sharing"",""แพร่!I239"")"),0)</f>
        <v>0</v>
      </c>
      <c r="J344" s="187">
        <f ca="1">IFERROR(__xludf.DUMMYFUNCTION("IMPORTRANGE(""https://docs.google.com/spreadsheets/d/11923uPwbBZFjjGgGUA6NLw09EwE0CqkOc4q9oUmW1yo/edit?usp=sharing"",""แพร่!J239"")"),4.5)</f>
        <v>4.5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IFERROR(__xludf.DUMMYFUNCTION("IMPORTRANGE(""https://docs.google.com/spreadsheets/d/11923uPwbBZFjjGgGUA6NLw09EwE0CqkOc4q9oUmW1yo/edit?usp=sharing"",""แพร่!I240"")"),360)</f>
        <v>360</v>
      </c>
      <c r="J345" s="187">
        <f ca="1">IFERROR(__xludf.DUMMYFUNCTION("IMPORTRANGE(""https://docs.google.com/spreadsheets/d/11923uPwbBZFjjGgGUA6NLw09EwE0CqkOc4q9oUmW1yo/edit?usp=sharing"",""แพร่!J240"")"),470)</f>
        <v>470</v>
      </c>
      <c r="K345" s="342">
        <f t="shared" ca="1" si="103"/>
        <v>130.55555555555554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IFERROR(__xludf.DUMMYFUNCTION("IMPORTRANGE(""https://docs.google.com/spreadsheets/d/11923uPwbBZFjjGgGUA6NLw09EwE0CqkOc4q9oUmW1yo/edit?usp=sharing"",""แพร่!I241"")"),0)</f>
        <v>0</v>
      </c>
      <c r="J346" s="187">
        <f ca="1">IFERROR(__xludf.DUMMYFUNCTION("IMPORTRANGE(""https://docs.google.com/spreadsheets/d/11923uPwbBZFjjGgGUA6NLw09EwE0CqkOc4q9oUmW1yo/edit?usp=sharing"",""แพร่!J241"")"),4107.35)</f>
        <v>4107.3500000000004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IFERROR(__xludf.DUMMYFUNCTION("IMPORTRANGE(""https://docs.google.com/spreadsheets/d/11923uPwbBZFjjGgGUA6NLw09EwE0CqkOc4q9oUmW1yo/edit?usp=sharing"",""แพร่!L242"")"),1865460)</f>
        <v>1865460</v>
      </c>
      <c r="M347" s="357"/>
      <c r="N347" s="357">
        <f ca="1">IFERROR(__xludf.DUMMYFUNCTION("IMPORTRANGE(""https://docs.google.com/spreadsheets/d/11923uPwbBZFjjGgGUA6NLw09EwE0CqkOc4q9oUmW1yo/edit?usp=sharing"",""แพร่!M242"")"),901951.45)</f>
        <v>901951.45</v>
      </c>
      <c r="O347" s="357">
        <f ca="1">+IF(L347&gt;0,N347*100/L347,0)</f>
        <v>48.350082553364857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IFERROR(__xludf.DUMMYFUNCTION("IMPORTRANGE(""https://docs.google.com/spreadsheets/d/11923uPwbBZFjjGgGUA6NLw09EwE0CqkOc4q9oUmW1yo/edit?usp=sharing"",""แพร่!I244"")"),90)</f>
        <v>90</v>
      </c>
      <c r="J349" s="370">
        <f ca="1">IFERROR(__xludf.DUMMYFUNCTION("IMPORTRANGE(""https://docs.google.com/spreadsheets/d/11923uPwbBZFjjGgGUA6NLw09EwE0CqkOc4q9oUmW1yo/edit?usp=sharing"",""แพร่!J244"")"),90)</f>
        <v>90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IFERROR(__xludf.DUMMYFUNCTION("IMPORTRANGE(""https://docs.google.com/spreadsheets/d/11923uPwbBZFjjGgGUA6NLw09EwE0CqkOc4q9oUmW1yo/edit?usp=sharing"",""แพร่!L244"")"),348030)</f>
        <v>348030</v>
      </c>
      <c r="M349" s="372"/>
      <c r="N349" s="372">
        <f ca="1">IFERROR(__xludf.DUMMYFUNCTION("IMPORTRANGE(""https://docs.google.com/spreadsheets/d/11923uPwbBZFjjGgGUA6NLw09EwE0CqkOc4q9oUmW1yo/edit?usp=sharing"",""แพร่!M244"")"),293936)</f>
        <v>293936</v>
      </c>
      <c r="O349" s="372">
        <f ca="1">+IF(L349&gt;0,N349*100/L349,0)</f>
        <v>84.45708703272706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IFERROR(__xludf.DUMMYFUNCTION("IMPORTRANGE(""https://docs.google.com/spreadsheets/d/11923uPwbBZFjjGgGUA6NLw09EwE0CqkOc4q9oUmW1yo/edit?usp=sharing"",""แพร่!I245"")"),55)</f>
        <v>55</v>
      </c>
      <c r="J350" s="370">
        <f ca="1">IFERROR(__xludf.DUMMYFUNCTION("IMPORTRANGE(""https://docs.google.com/spreadsheets/d/11923uPwbBZFjjGgGUA6NLw09EwE0CqkOc4q9oUmW1yo/edit?usp=sharing"",""แพร่!J245"")"),55)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IFERROR(__xludf.DUMMYFUNCTION("IMPORTRANGE(""https://docs.google.com/spreadsheets/d/11923uPwbBZFjjGgGUA6NLw09EwE0CqkOc4q9oUmW1yo/edit?usp=sharing"",""แพร่!L246"")"),0)</f>
        <v>0</v>
      </c>
      <c r="M351" s="164"/>
      <c r="N351" s="164">
        <f ca="1">IFERROR(__xludf.DUMMYFUNCTION("IMPORTRANGE(""https://docs.google.com/spreadsheets/d/11923uPwbBZFjjGgGUA6NLw09EwE0CqkOc4q9oUmW1yo/edit?usp=sharing"",""แพร่!M246"")"),0)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IFERROR(__xludf.DUMMYFUNCTION("IMPORTRANGE(""https://docs.google.com/spreadsheets/d/11923uPwbBZFjjGgGUA6NLw09EwE0CqkOc4q9oUmW1yo/edit?usp=sharing"",""แพร่!L247"")"),348030)</f>
        <v>348030</v>
      </c>
      <c r="M352" s="165"/>
      <c r="N352" s="164">
        <f ca="1">IFERROR(__xludf.DUMMYFUNCTION("IMPORTRANGE(""https://docs.google.com/spreadsheets/d/11923uPwbBZFjjGgGUA6NLw09EwE0CqkOc4q9oUmW1yo/edit?usp=sharing"",""แพร่!M247"")"),293936)</f>
        <v>293936</v>
      </c>
      <c r="O352" s="165">
        <f t="shared" ca="1" si="105"/>
        <v>84.45708703272706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IFERROR(__xludf.DUMMYFUNCTION("IMPORTRANGE(""https://docs.google.com/spreadsheets/d/11923uPwbBZFjjGgGUA6NLw09EwE0CqkOc4q9oUmW1yo/edit?usp=sharing"",""แพร่!L248"")"),0)</f>
        <v>0</v>
      </c>
      <c r="M353" s="168"/>
      <c r="N353" s="168">
        <f ca="1">IFERROR(__xludf.DUMMYFUNCTION("IMPORTRANGE(""https://docs.google.com/spreadsheets/d/11923uPwbBZFjjGgGUA6NLw09EwE0CqkOc4q9oUmW1yo/edit?usp=sharing"",""แพร่!M248"")"),0)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IFERROR(__xludf.DUMMYFUNCTION("IMPORTRANGE(""https://docs.google.com/spreadsheets/d/11923uPwbBZFjjGgGUA6NLw09EwE0CqkOc4q9oUmW1yo/edit?usp=sharing"",""แพร่!L249"")"),348030)</f>
        <v>348030</v>
      </c>
      <c r="M354" s="168"/>
      <c r="N354" s="167">
        <f ca="1">IFERROR(__xludf.DUMMYFUNCTION("IMPORTRANGE(""https://docs.google.com/spreadsheets/d/11923uPwbBZFjjGgGUA6NLw09EwE0CqkOc4q9oUmW1yo/edit?usp=sharing"",""แพร่!M249"")"),293936)</f>
        <v>293936</v>
      </c>
      <c r="O354" s="168">
        <f t="shared" ca="1" si="105"/>
        <v>84.45708703272706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IFERROR(__xludf.DUMMYFUNCTION("IMPORTRANGE(""https://docs.google.com/spreadsheets/d/11923uPwbBZFjjGgGUA6NLw09EwE0CqkOc4q9oUmW1yo/edit?usp=sharing"",""แพร่!M250"")"),67500)</f>
        <v>67500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IFERROR(__xludf.DUMMYFUNCTION("IMPORTRANGE(""https://docs.google.com/spreadsheets/d/11923uPwbBZFjjGgGUA6NLw09EwE0CqkOc4q9oUmW1yo/edit?usp=sharing"",""แพร่!M251"")"),93000)</f>
        <v>93000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IFERROR(__xludf.DUMMYFUNCTION("IMPORTRANGE(""https://docs.google.com/spreadsheets/d/11923uPwbBZFjjGgGUA6NLw09EwE0CqkOc4q9oUmW1yo/edit?usp=sharing"",""แพร่!M252"")"),77000)</f>
        <v>77000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IFERROR(__xludf.DUMMYFUNCTION("IMPORTRANGE(""https://docs.google.com/spreadsheets/d/11923uPwbBZFjjGgGUA6NLw09EwE0CqkOc4q9oUmW1yo/edit?usp=sharing"",""แพร่!M253"")"),56436)</f>
        <v>56436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IFERROR(__xludf.DUMMYFUNCTION("IMPORTRANGE(""https://docs.google.com/spreadsheets/d/11923uPwbBZFjjGgGUA6NLw09EwE0CqkOc4q9oUmW1yo/edit?usp=sharing"",""แพร่!J255"")"),0)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IFERROR(__xludf.DUMMYFUNCTION("IMPORTRANGE(""https://docs.google.com/spreadsheets/d/11923uPwbBZFjjGgGUA6NLw09EwE0CqkOc4q9oUmW1yo/edit?usp=sharing"",""แพร่!J256"")"),1)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IFERROR(__xludf.DUMMYFUNCTION("IMPORTRANGE(""https://docs.google.com/spreadsheets/d/11923uPwbBZFjjGgGUA6NLw09EwE0CqkOc4q9oUmW1yo/edit?usp=sharing"",""แพร่!J257"")"),1)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IFERROR(__xludf.DUMMYFUNCTION("IMPORTRANGE(""https://docs.google.com/spreadsheets/d/11923uPwbBZFjjGgGUA6NLw09EwE0CqkOc4q9oUmW1yo/edit?usp=sharing"",""แพร่!J258"")"),1)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IFERROR(__xludf.DUMMYFUNCTION("IMPORTRANGE(""https://docs.google.com/spreadsheets/d/11923uPwbBZFjjGgGUA6NLw09EwE0CqkOc4q9oUmW1yo/edit?usp=sharing"",""แพร่!J166"")"),0)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IFERROR(__xludf.DUMMYFUNCTION("IMPORTRANGE(""https://docs.google.com/spreadsheets/d/11923uPwbBZFjjGgGUA6NLw09EwE0CqkOc4q9oUmW1yo/edit?usp=sharing"",""แพร่!J166"")"),0)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IFERROR(__xludf.DUMMYFUNCTION("IMPORTRANGE(""https://docs.google.com/spreadsheets/d/11923uPwbBZFjjGgGUA6NLw09EwE0CqkOc4q9oUmW1yo/edit?usp=sharing"",""แพร่!J166"")"),0)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IFERROR(__xludf.DUMMYFUNCTION("IMPORTRANGE(""https://docs.google.com/spreadsheets/d/11923uPwbBZFjjGgGUA6NLw09EwE0CqkOc4q9oUmW1yo/edit?usp=sharing"",""แพร่!J166"")"),0)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IFERROR(__xludf.DUMMYFUNCTION("IMPORTRANGE(""https://docs.google.com/spreadsheets/d/11923uPwbBZFjjGgGUA6NLw09EwE0CqkOc4q9oUmW1yo/edit?usp=sharing"",""แพร่!I263"")"),55)</f>
        <v>55</v>
      </c>
      <c r="J368" s="187">
        <f ca="1">IFERROR(__xludf.DUMMYFUNCTION("IMPORTRANGE(""https://docs.google.com/spreadsheets/d/11923uPwbBZFjjGgGUA6NLw09EwE0CqkOc4q9oUmW1yo/edit?usp=sharing"",""แพร่!J263"")"),55)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IFERROR(__xludf.DUMMYFUNCTION("IMPORTRANGE(""https://docs.google.com/spreadsheets/d/11923uPwbBZFjjGgGUA6NLw09EwE0CqkOc4q9oUmW1yo/edit?usp=sharing"",""แพร่!I164"")"),0)</f>
        <v>0</v>
      </c>
      <c r="J369" s="203">
        <f ca="1">IFERROR(__xludf.DUMMYFUNCTION("IMPORTRANGE(""https://docs.google.com/spreadsheets/d/11923uPwbBZFjjGgGUA6NLw09EwE0CqkOc4q9oUmW1yo/edit?usp=sharing"",""แพร่!J164"")"),0)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IFERROR(__xludf.DUMMYFUNCTION("IMPORTRANGE(""https://docs.google.com/spreadsheets/d/11923uPwbBZFjjGgGUA6NLw09EwE0CqkOc4q9oUmW1yo/edit?usp=sharing"",""แพร่!I265"")"),55)</f>
        <v>55</v>
      </c>
      <c r="J370" s="203">
        <f ca="1">IFERROR(__xludf.DUMMYFUNCTION("IMPORTRANGE(""https://docs.google.com/spreadsheets/d/11923uPwbBZFjjGgGUA6NLw09EwE0CqkOc4q9oUmW1yo/edit?usp=sharing"",""แพร่!J265"")"),55)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IFERROR(__xludf.DUMMYFUNCTION("IMPORTRANGE(""https://docs.google.com/spreadsheets/d/11923uPwbBZFjjGgGUA6NLw09EwE0CqkOc4q9oUmW1yo/edit?usp=sharing"",""แพร่!I164"")"),0)</f>
        <v>0</v>
      </c>
      <c r="J371" s="188">
        <f ca="1">IFERROR(__xludf.DUMMYFUNCTION("IMPORTRANGE(""https://docs.google.com/spreadsheets/d/11923uPwbBZFjjGgGUA6NLw09EwE0CqkOc4q9oUmW1yo/edit?usp=sharing"",""แพร่!J164"")"),0)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IFERROR(__xludf.DUMMYFUNCTION("IMPORTRANGE(""https://docs.google.com/spreadsheets/d/11923uPwbBZFjjGgGUA6NLw09EwE0CqkOc4q9oUmW1yo/edit?usp=sharing"",""แพร่!I267"")"),55)</f>
        <v>55</v>
      </c>
      <c r="J372" s="188">
        <f ca="1">IFERROR(__xludf.DUMMYFUNCTION("IMPORTRANGE(""https://docs.google.com/spreadsheets/d/11923uPwbBZFjjGgGUA6NLw09EwE0CqkOc4q9oUmW1yo/edit?usp=sharing"",""แพร่!J267"")"),55)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IFERROR(__xludf.DUMMYFUNCTION("IMPORTRANGE(""https://docs.google.com/spreadsheets/d/11923uPwbBZFjjGgGUA6NLw09EwE0CqkOc4q9oUmW1yo/edit?usp=sharing"",""แพร่!I164"")"),0)</f>
        <v>0</v>
      </c>
      <c r="J373" s="203">
        <f ca="1">IFERROR(__xludf.DUMMYFUNCTION("IMPORTRANGE(""https://docs.google.com/spreadsheets/d/11923uPwbBZFjjGgGUA6NLw09EwE0CqkOc4q9oUmW1yo/edit?usp=sharing"",""แพร่!J164"")"),0)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IFERROR(__xludf.DUMMYFUNCTION("IMPORTRANGE(""https://docs.google.com/spreadsheets/d/11923uPwbBZFjjGgGUA6NLw09EwE0CqkOc4q9oUmW1yo/edit?usp=sharing"",""แพร่!I164"")"),0)</f>
        <v>0</v>
      </c>
      <c r="J374" s="187">
        <f ca="1">IFERROR(__xludf.DUMMYFUNCTION("IMPORTRANGE(""https://docs.google.com/spreadsheets/d/11923uPwbBZFjjGgGUA6NLw09EwE0CqkOc4q9oUmW1yo/edit?usp=sharing"",""แพร่!J164"")"),0)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IFERROR(__xludf.DUMMYFUNCTION("IMPORTRANGE(""https://docs.google.com/spreadsheets/d/11923uPwbBZFjjGgGUA6NLw09EwE0CqkOc4q9oUmW1yo/edit?usp=sharing"",""แพร่!I270"")"),90)</f>
        <v>90</v>
      </c>
      <c r="J375" s="187">
        <f ca="1">IFERROR(__xludf.DUMMYFUNCTION("IMPORTRANGE(""https://docs.google.com/spreadsheets/d/11923uPwbBZFjjGgGUA6NLw09EwE0CqkOc4q9oUmW1yo/edit?usp=sharing"",""แพร่!J270"")"),90)</f>
        <v>90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IFERROR(__xludf.DUMMYFUNCTION("IMPORTRANGE(""https://docs.google.com/spreadsheets/d/11923uPwbBZFjjGgGUA6NLw09EwE0CqkOc4q9oUmW1yo/edit?usp=sharing"",""แพร่!I271"")"),50)</f>
        <v>50</v>
      </c>
      <c r="J376" s="188">
        <f ca="1">IFERROR(__xludf.DUMMYFUNCTION("IMPORTRANGE(""https://docs.google.com/spreadsheets/d/11923uPwbBZFjjGgGUA6NLw09EwE0CqkOc4q9oUmW1yo/edit?usp=sharing"",""แพร่!J271"")"),50)</f>
        <v>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IFERROR(__xludf.DUMMYFUNCTION("IMPORTRANGE(""https://docs.google.com/spreadsheets/d/11923uPwbBZFjjGgGUA6NLw09EwE0CqkOc4q9oUmW1yo/edit?usp=sharing"",""แพร่!I272"")"),40)</f>
        <v>40</v>
      </c>
      <c r="J377" s="203">
        <f ca="1">IFERROR(__xludf.DUMMYFUNCTION("IMPORTRANGE(""https://docs.google.com/spreadsheets/d/11923uPwbBZFjjGgGUA6NLw09EwE0CqkOc4q9oUmW1yo/edit?usp=sharing"",""แพร่!J272"")"),40)</f>
        <v>40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IFERROR(__xludf.DUMMYFUNCTION("IMPORTRANGE(""https://docs.google.com/spreadsheets/d/11923uPwbBZFjjGgGUA6NLw09EwE0CqkOc4q9oUmW1yo/edit?usp=sharing"",""แพร่!J273"")"),0)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IFERROR(__xludf.DUMMYFUNCTION("IMPORTRANGE(""https://docs.google.com/spreadsheets/d/11923uPwbBZFjjGgGUA6NLw09EwE0CqkOc4q9oUmW1yo/edit?usp=sharing"",""แพร่!J274"")"),0)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IFERROR(__xludf.DUMMYFUNCTION("IMPORTRANGE(""https://docs.google.com/spreadsheets/d/11923uPwbBZFjjGgGUA6NLw09EwE0CqkOc4q9oUmW1yo/edit?usp=sharing"",""แพร่!I275"")"),1000)</f>
        <v>1000</v>
      </c>
      <c r="J380" s="370">
        <f ca="1">IFERROR(__xludf.DUMMYFUNCTION("IMPORTRANGE(""https://docs.google.com/spreadsheets/d/11923uPwbBZFjjGgGUA6NLw09EwE0CqkOc4q9oUmW1yo/edit?usp=sharing"",""แพร่!J275"")"),1000)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IFERROR(__xludf.DUMMYFUNCTION("IMPORTRANGE(""https://docs.google.com/spreadsheets/d/11923uPwbBZFjjGgGUA6NLw09EwE0CqkOc4q9oUmW1yo/edit?usp=sharing"",""แพร่!L275"")"),1028520)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IFERROR(__xludf.DUMMYFUNCTION("IMPORTRANGE(""https://docs.google.com/spreadsheets/d/11923uPwbBZFjjGgGUA6NLw09EwE0CqkOc4q9oUmW1yo/edit?usp=sharing"",""แพร่!M275"")"),273968.45)</f>
        <v>273968.45</v>
      </c>
      <c r="O380" s="372">
        <f ca="1">+IF(L380&gt;0,N380*100/L380,0)</f>
        <v>26.63715338544705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IFERROR(__xludf.DUMMYFUNCTION("IMPORTRANGE(""https://docs.google.com/spreadsheets/d/11923uPwbBZFjjGgGUA6NLw09EwE0CqkOc4q9oUmW1yo/edit?usp=sharing"",""แพร่!I276"")"),100)</f>
        <v>100</v>
      </c>
      <c r="J381" s="370">
        <f ca="1">IFERROR(__xludf.DUMMYFUNCTION("IMPORTRANGE(""https://docs.google.com/spreadsheets/d/11923uPwbBZFjjGgGUA6NLw09EwE0CqkOc4q9oUmW1yo/edit?usp=sharing"",""แพร่!J276"")"),100)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IFERROR(__xludf.DUMMYFUNCTION("IMPORTRANGE(""https://docs.google.com/spreadsheets/d/11923uPwbBZFjjGgGUA6NLw09EwE0CqkOc4q9oUmW1yo/edit?usp=sharing"",""แพร่!L277"")"),0)</f>
        <v>0</v>
      </c>
      <c r="M382" s="164"/>
      <c r="N382" s="164">
        <f ca="1">IFERROR(__xludf.DUMMYFUNCTION("IMPORTRANGE(""https://docs.google.com/spreadsheets/d/11923uPwbBZFjjGgGUA6NLw09EwE0CqkOc4q9oUmW1yo/edit?usp=sharing"",""แพร่!M277"")"),0)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IFERROR(__xludf.DUMMYFUNCTION("IMPORTRANGE(""https://docs.google.com/spreadsheets/d/11923uPwbBZFjjGgGUA6NLw09EwE0CqkOc4q9oUmW1yo/edit?usp=sharing"",""แพร่!L278"")"),1028520)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IFERROR(__xludf.DUMMYFUNCTION("IMPORTRANGE(""https://docs.google.com/spreadsheets/d/11923uPwbBZFjjGgGUA6NLw09EwE0CqkOc4q9oUmW1yo/edit?usp=sharing"",""แพร่!M278"")"),273968.45)</f>
        <v>273968.45</v>
      </c>
      <c r="O383" s="165">
        <f t="shared" ca="1" si="109"/>
        <v>26.63715338544705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IFERROR(__xludf.DUMMYFUNCTION("IMPORTRANGE(""https://docs.google.com/spreadsheets/d/11923uPwbBZFjjGgGUA6NLw09EwE0CqkOc4q9oUmW1yo/edit?usp=sharing"",""แพร่!L279"")"),0)</f>
        <v>0</v>
      </c>
      <c r="M384" s="168"/>
      <c r="N384" s="168">
        <f ca="1">IFERROR(__xludf.DUMMYFUNCTION("IMPORTRANGE(""https://docs.google.com/spreadsheets/d/11923uPwbBZFjjGgGUA6NLw09EwE0CqkOc4q9oUmW1yo/edit?usp=sharing"",""แพร่!M279"")"),0)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IFERROR(__xludf.DUMMYFUNCTION("IMPORTRANGE(""https://docs.google.com/spreadsheets/d/11923uPwbBZFjjGgGUA6NLw09EwE0CqkOc4q9oUmW1yo/edit?usp=sharing"",""แพร่!L280"")"),1028520)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IFERROR(__xludf.DUMMYFUNCTION("IMPORTRANGE(""https://docs.google.com/spreadsheets/d/11923uPwbBZFjjGgGUA6NLw09EwE0CqkOc4q9oUmW1yo/edit?usp=sharing"",""แพร่!M280"")"),273968.45)</f>
        <v>273968.45</v>
      </c>
      <c r="O385" s="168">
        <f t="shared" ca="1" si="109"/>
        <v>26.63715338544705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IFERROR(__xludf.DUMMYFUNCTION("IMPORTRANGE(""https://docs.google.com/spreadsheets/d/11923uPwbBZFjjGgGUA6NLw09EwE0CqkOc4q9oUmW1yo/edit?usp=sharing"",""แพร่!M281"")"),172428)</f>
        <v>172428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IFERROR(__xludf.DUMMYFUNCTION("IMPORTRANGE(""https://docs.google.com/spreadsheets/d/11923uPwbBZFjjGgGUA6NLw09EwE0CqkOc4q9oUmW1yo/edit?usp=sharing"",""แพร่!M282"")"),0)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IFERROR(__xludf.DUMMYFUNCTION("IMPORTRANGE(""https://docs.google.com/spreadsheets/d/11923uPwbBZFjjGgGUA6NLw09EwE0CqkOc4q9oUmW1yo/edit?usp=sharing"",""แพร่!M283"")"),77000)</f>
        <v>77000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IFERROR(__xludf.DUMMYFUNCTION("IMPORTRANGE(""https://docs.google.com/spreadsheets/d/11923uPwbBZFjjGgGUA6NLw09EwE0CqkOc4q9oUmW1yo/edit?usp=sharing"",""แพร่!M284"")"),24540.45)</f>
        <v>24540.45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IFERROR(__xludf.DUMMYFUNCTION("IMPORTRANGE(""https://docs.google.com/spreadsheets/d/11923uPwbBZFjjGgGUA6NLw09EwE0CqkOc4q9oUmW1yo/edit?usp=sharing"",""แพร่!J286"")"),0)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IFERROR(__xludf.DUMMYFUNCTION("IMPORTRANGE(""https://docs.google.com/spreadsheets/d/11923uPwbBZFjjGgGUA6NLw09EwE0CqkOc4q9oUmW1yo/edit?usp=sharing"",""แพร่!J287"")"),1)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IFERROR(__xludf.DUMMYFUNCTION("IMPORTRANGE(""https://docs.google.com/spreadsheets/d/11923uPwbBZFjjGgGUA6NLw09EwE0CqkOc4q9oUmW1yo/edit?usp=sharing"",""แพร่!J288"")"),1)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IFERROR(__xludf.DUMMYFUNCTION("IMPORTRANGE(""https://docs.google.com/spreadsheets/d/11923uPwbBZFjjGgGUA6NLw09EwE0CqkOc4q9oUmW1yo/edit?usp=sharing"",""แพร่!J289"")"),1)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IFERROR(__xludf.DUMMYFUNCTION("IMPORTRANGE(""https://docs.google.com/spreadsheets/d/11923uPwbBZFjjGgGUA6NLw09EwE0CqkOc4q9oUmW1yo/edit?usp=sharing"",""แพร่!I291"")"),100)</f>
        <v>100</v>
      </c>
      <c r="J396" s="197">
        <f ca="1">IFERROR(__xludf.DUMMYFUNCTION("IMPORTRANGE(""https://docs.google.com/spreadsheets/d/11923uPwbBZFjjGgGUA6NLw09EwE0CqkOc4q9oUmW1yo/edit?usp=sharing"",""แพร่!J291"")"),100)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IFERROR(__xludf.DUMMYFUNCTION("IMPORTRANGE(""https://docs.google.com/spreadsheets/d/11923uPwbBZFjjGgGUA6NLw09EwE0CqkOc4q9oUmW1yo/edit?usp=sharing"",""แพร่!I292"")"),1000)</f>
        <v>1000</v>
      </c>
      <c r="J397" s="197">
        <f ca="1">IFERROR(__xludf.DUMMYFUNCTION("IMPORTRANGE(""https://docs.google.com/spreadsheets/d/11923uPwbBZFjjGgGUA6NLw09EwE0CqkOc4q9oUmW1yo/edit?usp=sharing"",""แพร่!J292"")"),1000)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IFERROR(__xludf.DUMMYFUNCTION("IMPORTRANGE(""https://docs.google.com/spreadsheets/d/11923uPwbBZFjjGgGUA6NLw09EwE0CqkOc4q9oUmW1yo/edit?usp=sharing"",""แพร่!I293"")"),100)</f>
        <v>100</v>
      </c>
      <c r="J398" s="197">
        <f ca="1">IFERROR(__xludf.DUMMYFUNCTION("IMPORTRANGE(""https://docs.google.com/spreadsheets/d/11923uPwbBZFjjGgGUA6NLw09EwE0CqkOc4q9oUmW1yo/edit?usp=sharing"",""แพร่!J293"")"),0)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IFERROR(__xludf.DUMMYFUNCTION("IMPORTRANGE(""https://docs.google.com/spreadsheets/d/11923uPwbBZFjjGgGUA6NLw09EwE0CqkOc4q9oUmW1yo/edit?usp=sharing"",""แพร่!J294"")"),0)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IFERROR(__xludf.DUMMYFUNCTION("IMPORTRANGE(""https://docs.google.com/spreadsheets/d/11923uPwbBZFjjGgGUA6NLw09EwE0CqkOc4q9oUmW1yo/edit?usp=sharing"",""แพร่!J295"")"),0)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IFERROR(__xludf.DUMMYFUNCTION("IMPORTRANGE(""https://docs.google.com/spreadsheets/d/11923uPwbBZFjjGgGUA6NLw09EwE0CqkOc4q9oUmW1yo/edit?usp=sharing"",""แพร่!I296"")"),120)</f>
        <v>120</v>
      </c>
      <c r="J401" s="370">
        <f ca="1">IFERROR(__xludf.DUMMYFUNCTION("IMPORTRANGE(""https://docs.google.com/spreadsheets/d/11923uPwbBZFjjGgGUA6NLw09EwE0CqkOc4q9oUmW1yo/edit?usp=sharing"",""แพร่!J296"")"),120)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IFERROR(__xludf.DUMMYFUNCTION("IMPORTRANGE(""https://docs.google.com/spreadsheets/d/11923uPwbBZFjjGgGUA6NLw09EwE0CqkOc4q9oUmW1yo/edit?usp=sharing"",""แพร่!L296"")"),135020)</f>
        <v>135020</v>
      </c>
      <c r="M401" s="372"/>
      <c r="N401" s="372">
        <f ca="1">IFERROR(__xludf.DUMMYFUNCTION("IMPORTRANGE(""https://docs.google.com/spreadsheets/d/11923uPwbBZFjjGgGUA6NLw09EwE0CqkOc4q9oUmW1yo/edit?usp=sharing"",""แพร่!M296"")"),97945)</f>
        <v>97945</v>
      </c>
      <c r="O401" s="372">
        <f ca="1">+IF(L401&gt;0,N401*100/L401,0)</f>
        <v>72.541105021478302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IFERROR(__xludf.DUMMYFUNCTION("IMPORTRANGE(""https://docs.google.com/spreadsheets/d/11923uPwbBZFjjGgGUA6NLw09EwE0CqkOc4q9oUmW1yo/edit?usp=sharing"",""แพร่!I297"")"),40)</f>
        <v>40</v>
      </c>
      <c r="J402" s="370">
        <f ca="1">IFERROR(__xludf.DUMMYFUNCTION("IMPORTRANGE(""https://docs.google.com/spreadsheets/d/11923uPwbBZFjjGgGUA6NLw09EwE0CqkOc4q9oUmW1yo/edit?usp=sharing"",""แพร่!J297"")"),40)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IFERROR(__xludf.DUMMYFUNCTION("IMPORTRANGE(""https://docs.google.com/spreadsheets/d/11923uPwbBZFjjGgGUA6NLw09EwE0CqkOc4q9oUmW1yo/edit?usp=sharing"",""แพร่!L298"")"),0)</f>
        <v>0</v>
      </c>
      <c r="M403" s="164"/>
      <c r="N403" s="168">
        <f ca="1">IFERROR(__xludf.DUMMYFUNCTION("IMPORTRANGE(""https://docs.google.com/spreadsheets/d/11923uPwbBZFjjGgGUA6NLw09EwE0CqkOc4q9oUmW1yo/edit?usp=sharing"",""แพร่!M298"")"),0)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IFERROR(__xludf.DUMMYFUNCTION("IMPORTRANGE(""https://docs.google.com/spreadsheets/d/11923uPwbBZFjjGgGUA6NLw09EwE0CqkOc4q9oUmW1yo/edit?usp=sharing"",""แพร่!L299"")"),135020)</f>
        <v>135020</v>
      </c>
      <c r="M404" s="165"/>
      <c r="N404" s="168">
        <f ca="1">IFERROR(__xludf.DUMMYFUNCTION("IMPORTRANGE(""https://docs.google.com/spreadsheets/d/11923uPwbBZFjjGgGUA6NLw09EwE0CqkOc4q9oUmW1yo/edit?usp=sharing"",""แพร่!M299"")"),97945)</f>
        <v>97945</v>
      </c>
      <c r="O404" s="168">
        <f t="shared" ca="1" si="112"/>
        <v>72.541105021478302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IFERROR(__xludf.DUMMYFUNCTION("IMPORTRANGE(""https://docs.google.com/spreadsheets/d/11923uPwbBZFjjGgGUA6NLw09EwE0CqkOc4q9oUmW1yo/edit?usp=sharing"",""แพร่!L300"")"),0)</f>
        <v>0</v>
      </c>
      <c r="M405" s="168"/>
      <c r="N405" s="168">
        <f ca="1">IFERROR(__xludf.DUMMYFUNCTION("IMPORTRANGE(""https://docs.google.com/spreadsheets/d/11923uPwbBZFjjGgGUA6NLw09EwE0CqkOc4q9oUmW1yo/edit?usp=sharing"",""แพร่!M300"")"),0)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IFERROR(__xludf.DUMMYFUNCTION("IMPORTRANGE(""https://docs.google.com/spreadsheets/d/11923uPwbBZFjjGgGUA6NLw09EwE0CqkOc4q9oUmW1yo/edit?usp=sharing"",""แพร่!L301"")"),135020)</f>
        <v>135020</v>
      </c>
      <c r="M406" s="168"/>
      <c r="N406" s="168">
        <f ca="1">IFERROR(__xludf.DUMMYFUNCTION("IMPORTRANGE(""https://docs.google.com/spreadsheets/d/11923uPwbBZFjjGgGUA6NLw09EwE0CqkOc4q9oUmW1yo/edit?usp=sharing"",""แพร่!M301"")"),97945)</f>
        <v>97945</v>
      </c>
      <c r="O406" s="168">
        <f t="shared" ca="1" si="112"/>
        <v>72.541105021478302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IFERROR(__xludf.DUMMYFUNCTION("IMPORTRANGE(""https://docs.google.com/spreadsheets/d/11923uPwbBZFjjGgGUA6NLw09EwE0CqkOc4q9oUmW1yo/edit?usp=sharing"",""แพร่!M302"")"),75840)</f>
        <v>75840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IFERROR(__xludf.DUMMYFUNCTION("IMPORTRANGE(""https://docs.google.com/spreadsheets/d/11923uPwbBZFjjGgGUA6NLw09EwE0CqkOc4q9oUmW1yo/edit?usp=sharing"",""แพร่!M303"")"),0)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IFERROR(__xludf.DUMMYFUNCTION("IMPORTRANGE(""https://docs.google.com/spreadsheets/d/11923uPwbBZFjjGgGUA6NLw09EwE0CqkOc4q9oUmW1yo/edit?usp=sharing"",""แพร่!M304"")"),0)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IFERROR(__xludf.DUMMYFUNCTION("IMPORTRANGE(""https://docs.google.com/spreadsheets/d/11923uPwbBZFjjGgGUA6NLw09EwE0CqkOc4q9oUmW1yo/edit?usp=sharing"",""แพร่!M305"")"),22105)</f>
        <v>22105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IFERROR(__xludf.DUMMYFUNCTION("IMPORTRANGE(""https://docs.google.com/spreadsheets/d/11923uPwbBZFjjGgGUA6NLw09EwE0CqkOc4q9oUmW1yo/edit?usp=sharing"",""แพร่!J307"")"),0)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IFERROR(__xludf.DUMMYFUNCTION("IMPORTRANGE(""https://docs.google.com/spreadsheets/d/11923uPwbBZFjjGgGUA6NLw09EwE0CqkOc4q9oUmW1yo/edit?usp=sharing"",""แพร่!J308"")"),1)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IFERROR(__xludf.DUMMYFUNCTION("IMPORTRANGE(""https://docs.google.com/spreadsheets/d/11923uPwbBZFjjGgGUA6NLw09EwE0CqkOc4q9oUmW1yo/edit?usp=sharing"",""แพร่!J309"")"),1)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IFERROR(__xludf.DUMMYFUNCTION("IMPORTRANGE(""https://docs.google.com/spreadsheets/d/11923uPwbBZFjjGgGUA6NLw09EwE0CqkOc4q9oUmW1yo/edit?usp=sharing"",""แพร่!J310"")"),1)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IFERROR(__xludf.DUMMYFUNCTION("IMPORTRANGE(""https://docs.google.com/spreadsheets/d/11923uPwbBZFjjGgGUA6NLw09EwE0CqkOc4q9oUmW1yo/edit?usp=sharing"",""แพร่!I311"")"),40)</f>
        <v>40</v>
      </c>
      <c r="J416" s="200">
        <f ca="1">IFERROR(__xludf.DUMMYFUNCTION("IMPORTRANGE(""https://docs.google.com/spreadsheets/d/11923uPwbBZFjjGgGUA6NLw09EwE0CqkOc4q9oUmW1yo/edit?usp=sharing"",""แพร่!J311"")"),40)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IFERROR(__xludf.DUMMYFUNCTION("IMPORTRANGE(""https://docs.google.com/spreadsheets/d/11923uPwbBZFjjGgGUA6NLw09EwE0CqkOc4q9oUmW1yo/edit?usp=sharing"",""แพร่!I312"")"),10)</f>
        <v>10</v>
      </c>
      <c r="J417" s="391">
        <f ca="1">IFERROR(__xludf.DUMMYFUNCTION("IMPORTRANGE(""https://docs.google.com/spreadsheets/d/11923uPwbBZFjjGgGUA6NLw09EwE0CqkOc4q9oUmW1yo/edit?usp=sharing"",""แพร่!J312"")"),10)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IFERROR(__xludf.DUMMYFUNCTION("IMPORTRANGE(""https://docs.google.com/spreadsheets/d/11923uPwbBZFjjGgGUA6NLw09EwE0CqkOc4q9oUmW1yo/edit?usp=sharing"",""แพร่!I313"")"),30)</f>
        <v>30</v>
      </c>
      <c r="J418" s="392">
        <f ca="1">IFERROR(__xludf.DUMMYFUNCTION("IMPORTRANGE(""https://docs.google.com/spreadsheets/d/11923uPwbBZFjjGgGUA6NLw09EwE0CqkOc4q9oUmW1yo/edit?usp=sharing"",""แพร่!J313"")"),30)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IFERROR(__xludf.DUMMYFUNCTION("IMPORTRANGE(""https://docs.google.com/spreadsheets/d/11923uPwbBZFjjGgGUA6NLw09EwE0CqkOc4q9oUmW1yo/edit?usp=sharing"",""แพร่!I314"")"),10)</f>
        <v>10</v>
      </c>
      <c r="J419" s="393">
        <f ca="1">IFERROR(__xludf.DUMMYFUNCTION("IMPORTRANGE(""https://docs.google.com/spreadsheets/d/11923uPwbBZFjjGgGUA6NLw09EwE0CqkOc4q9oUmW1yo/edit?usp=sharing"",""แพร่!J314"")"),10)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IFERROR(__xludf.DUMMYFUNCTION("IMPORTRANGE(""https://docs.google.com/spreadsheets/d/11923uPwbBZFjjGgGUA6NLw09EwE0CqkOc4q9oUmW1yo/edit?usp=sharing"",""แพร่!I315"")"),10)</f>
        <v>10</v>
      </c>
      <c r="J420" s="393">
        <f ca="1">IFERROR(__xludf.DUMMYFUNCTION("IMPORTRANGE(""https://docs.google.com/spreadsheets/d/11923uPwbBZFjjGgGUA6NLw09EwE0CqkOc4q9oUmW1yo/edit?usp=sharing"",""แพร่!J315"")"),10)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IFERROR(__xludf.DUMMYFUNCTION("IMPORTRANGE(""https://docs.google.com/spreadsheets/d/11923uPwbBZFjjGgGUA6NLw09EwE0CqkOc4q9oUmW1yo/edit?usp=sharing"",""แพร่!I316"")"),14)</f>
        <v>14</v>
      </c>
      <c r="J421" s="391">
        <f ca="1">IFERROR(__xludf.DUMMYFUNCTION("IMPORTRANGE(""https://docs.google.com/spreadsheets/d/11923uPwbBZFjjGgGUA6NLw09EwE0CqkOc4q9oUmW1yo/edit?usp=sharing"",""แพร่!J316"")"),14)</f>
        <v>14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IFERROR(__xludf.DUMMYFUNCTION("IMPORTRANGE(""https://docs.google.com/spreadsheets/d/11923uPwbBZFjjGgGUA6NLw09EwE0CqkOc4q9oUmW1yo/edit?usp=sharing"",""แพร่!I317"")"),42)</f>
        <v>42</v>
      </c>
      <c r="J422" s="392">
        <f ca="1">IFERROR(__xludf.DUMMYFUNCTION("IMPORTRANGE(""https://docs.google.com/spreadsheets/d/11923uPwbBZFjjGgGUA6NLw09EwE0CqkOc4q9oUmW1yo/edit?usp=sharing"",""แพร่!J317"")"),42)</f>
        <v>42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IFERROR(__xludf.DUMMYFUNCTION("IMPORTRANGE(""https://docs.google.com/spreadsheets/d/11923uPwbBZFjjGgGUA6NLw09EwE0CqkOc4q9oUmW1yo/edit?usp=sharing"",""แพร่!I318"")"),14)</f>
        <v>14</v>
      </c>
      <c r="J423" s="393">
        <f ca="1">IFERROR(__xludf.DUMMYFUNCTION("IMPORTRANGE(""https://docs.google.com/spreadsheets/d/11923uPwbBZFjjGgGUA6NLw09EwE0CqkOc4q9oUmW1yo/edit?usp=sharing"",""แพร่!J318"")"),14)</f>
        <v>14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IFERROR(__xludf.DUMMYFUNCTION("IMPORTRANGE(""https://docs.google.com/spreadsheets/d/11923uPwbBZFjjGgGUA6NLw09EwE0CqkOc4q9oUmW1yo/edit?usp=sharing"",""แพร่!I319"")"),14)</f>
        <v>14</v>
      </c>
      <c r="J424" s="393">
        <f ca="1">IFERROR(__xludf.DUMMYFUNCTION("IMPORTRANGE(""https://docs.google.com/spreadsheets/d/11923uPwbBZFjjGgGUA6NLw09EwE0CqkOc4q9oUmW1yo/edit?usp=sharing"",""แพร่!J319"")"),14)</f>
        <v>14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IFERROR(__xludf.DUMMYFUNCTION("IMPORTRANGE(""https://docs.google.com/spreadsheets/d/11923uPwbBZFjjGgGUA6NLw09EwE0CqkOc4q9oUmW1yo/edit?usp=sharing"",""แพร่!I320"")"),14)</f>
        <v>14</v>
      </c>
      <c r="J425" s="393">
        <f ca="1">IFERROR(__xludf.DUMMYFUNCTION("IMPORTRANGE(""https://docs.google.com/spreadsheets/d/11923uPwbBZFjjGgGUA6NLw09EwE0CqkOc4q9oUmW1yo/edit?usp=sharing"",""แพร่!J320"")"),14)</f>
        <v>14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IFERROR(__xludf.DUMMYFUNCTION("IMPORTRANGE(""https://docs.google.com/spreadsheets/d/11923uPwbBZFjjGgGUA6NLw09EwE0CqkOc4q9oUmW1yo/edit?usp=sharing"",""แพร่!I321"")"),16)</f>
        <v>16</v>
      </c>
      <c r="J426" s="391">
        <f ca="1">IFERROR(__xludf.DUMMYFUNCTION("IMPORTRANGE(""https://docs.google.com/spreadsheets/d/11923uPwbBZFjjGgGUA6NLw09EwE0CqkOc4q9oUmW1yo/edit?usp=sharing"",""แพร่!J321"")"),16)</f>
        <v>16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IFERROR(__xludf.DUMMYFUNCTION("IMPORTRANGE(""https://docs.google.com/spreadsheets/d/11923uPwbBZFjjGgGUA6NLw09EwE0CqkOc4q9oUmW1yo/edit?usp=sharing"",""แพร่!I322"")"),48)</f>
        <v>48</v>
      </c>
      <c r="J427" s="392">
        <f ca="1">IFERROR(__xludf.DUMMYFUNCTION("IMPORTRANGE(""https://docs.google.com/spreadsheets/d/11923uPwbBZFjjGgGUA6NLw09EwE0CqkOc4q9oUmW1yo/edit?usp=sharing"",""แพร่!J322"")"),48)</f>
        <v>48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IFERROR(__xludf.DUMMYFUNCTION("IMPORTRANGE(""https://docs.google.com/spreadsheets/d/11923uPwbBZFjjGgGUA6NLw09EwE0CqkOc4q9oUmW1yo/edit?usp=sharing"",""แพร่!I323"")"),16)</f>
        <v>16</v>
      </c>
      <c r="J428" s="393">
        <f ca="1">IFERROR(__xludf.DUMMYFUNCTION("IMPORTRANGE(""https://docs.google.com/spreadsheets/d/11923uPwbBZFjjGgGUA6NLw09EwE0CqkOc4q9oUmW1yo/edit?usp=sharing"",""แพร่!J323"")"),16)</f>
        <v>16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IFERROR(__xludf.DUMMYFUNCTION("IMPORTRANGE(""https://docs.google.com/spreadsheets/d/11923uPwbBZFjjGgGUA6NLw09EwE0CqkOc4q9oUmW1yo/edit?usp=sharing"",""แพร่!I324"")"),16)</f>
        <v>16</v>
      </c>
      <c r="J429" s="393">
        <f ca="1">IFERROR(__xludf.DUMMYFUNCTION("IMPORTRANGE(""https://docs.google.com/spreadsheets/d/11923uPwbBZFjjGgGUA6NLw09EwE0CqkOc4q9oUmW1yo/edit?usp=sharing"",""แพร่!J324"")"),16)</f>
        <v>16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IFERROR(__xludf.DUMMYFUNCTION("IMPORTRANGE(""https://docs.google.com/spreadsheets/d/11923uPwbBZFjjGgGUA6NLw09EwE0CqkOc4q9oUmW1yo/edit?usp=sharing"",""แพร่!I325"")"),24)</f>
        <v>24</v>
      </c>
      <c r="J430" s="391">
        <f ca="1">IFERROR(__xludf.DUMMYFUNCTION("IMPORTRANGE(""https://docs.google.com/spreadsheets/d/11923uPwbBZFjjGgGUA6NLw09EwE0CqkOc4q9oUmW1yo/edit?usp=sharing"",""แพร่!J325"")"),24)</f>
        <v>24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IFERROR(__xludf.DUMMYFUNCTION("IMPORTRANGE(""https://docs.google.com/spreadsheets/d/11923uPwbBZFjjGgGUA6NLw09EwE0CqkOc4q9oUmW1yo/edit?usp=sharing"",""แพร่!I326"")"),10)</f>
        <v>10</v>
      </c>
      <c r="J431" s="393">
        <f ca="1">IFERROR(__xludf.DUMMYFUNCTION("IMPORTRANGE(""https://docs.google.com/spreadsheets/d/11923uPwbBZFjjGgGUA6NLw09EwE0CqkOc4q9oUmW1yo/edit?usp=sharing"",""แพร่!J326"")"),10)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IFERROR(__xludf.DUMMYFUNCTION("IMPORTRANGE(""https://docs.google.com/spreadsheets/d/11923uPwbBZFjjGgGUA6NLw09EwE0CqkOc4q9oUmW1yo/edit?usp=sharing"",""แพร่!I327"")"),14)</f>
        <v>14</v>
      </c>
      <c r="J432" s="393">
        <f ca="1">IFERROR(__xludf.DUMMYFUNCTION("IMPORTRANGE(""https://docs.google.com/spreadsheets/d/11923uPwbBZFjjGgGUA6NLw09EwE0CqkOc4q9oUmW1yo/edit?usp=sharing"",""แพร่!J327"")"),14)</f>
        <v>14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IFERROR(__xludf.DUMMYFUNCTION("IMPORTRANGE(""https://docs.google.com/spreadsheets/d/11923uPwbBZFjjGgGUA6NLw09EwE0CqkOc4q9oUmW1yo/edit?usp=sharing"",""แพร่!J328"")"),0)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IFERROR(__xludf.DUMMYFUNCTION("IMPORTRANGE(""https://docs.google.com/spreadsheets/d/11923uPwbBZFjjGgGUA6NLw09EwE0CqkOc4q9oUmW1yo/edit?usp=sharing"",""แพร่!J329"")"),0)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IFERROR(__xludf.DUMMYFUNCTION("IMPORTRANGE(""https://docs.google.com/spreadsheets/d/11923uPwbBZFjjGgGUA6NLw09EwE0CqkOc4q9oUmW1yo/edit?usp=sharing"",""แพร่!I330"")"),20)</f>
        <v>20</v>
      </c>
      <c r="J435" s="409">
        <f ca="1">IFERROR(__xludf.DUMMYFUNCTION("IMPORTRANGE(""https://docs.google.com/spreadsheets/d/11923uPwbBZFjjGgGUA6NLw09EwE0CqkOc4q9oUmW1yo/edit?usp=sharing"",""แพร่!J330"")"),20)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IFERROR(__xludf.DUMMYFUNCTION("IMPORTRANGE(""https://docs.google.com/spreadsheets/d/11923uPwbBZFjjGgGUA6NLw09EwE0CqkOc4q9oUmW1yo/edit?usp=sharing"",""แพร่!L330"")"),100000)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IFERROR(__xludf.DUMMYFUNCTION("IMPORTRANGE(""https://docs.google.com/spreadsheets/d/11923uPwbBZFjjGgGUA6NLw09EwE0CqkOc4q9oUmW1yo/edit?usp=sharing"",""แพร่!M330"")"),100000)</f>
        <v>100000</v>
      </c>
      <c r="O435" s="411">
        <f t="shared" ref="O435:O439" ca="1" si="114">+IF(L435&gt;0,N435*100/L435,0)</f>
        <v>100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IFERROR(__xludf.DUMMYFUNCTION("IMPORTRANGE(""https://docs.google.com/spreadsheets/d/11923uPwbBZFjjGgGUA6NLw09EwE0CqkOc4q9oUmW1yo/edit?usp=sharing"",""แพร่!L331"")"),0)</f>
        <v>0</v>
      </c>
      <c r="M436" s="164"/>
      <c r="N436" s="168">
        <f ca="1">IFERROR(__xludf.DUMMYFUNCTION("IMPORTRANGE(""https://docs.google.com/spreadsheets/d/11923uPwbBZFjjGgGUA6NLw09EwE0CqkOc4q9oUmW1yo/edit?usp=sharing"",""แพร่!M331"")"),0)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IFERROR(__xludf.DUMMYFUNCTION("IMPORTRANGE(""https://docs.google.com/spreadsheets/d/11923uPwbBZFjjGgGUA6NLw09EwE0CqkOc4q9oUmW1yo/edit?usp=sharing"",""แพร่!L332"")"),100000)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IFERROR(__xludf.DUMMYFUNCTION("IMPORTRANGE(""https://docs.google.com/spreadsheets/d/11923uPwbBZFjjGgGUA6NLw09EwE0CqkOc4q9oUmW1yo/edit?usp=sharing"",""แพร่!M332"")"),100000)</f>
        <v>100000</v>
      </c>
      <c r="O437" s="168">
        <f t="shared" ca="1" si="114"/>
        <v>100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IFERROR(__xludf.DUMMYFUNCTION("IMPORTRANGE(""https://docs.google.com/spreadsheets/d/11923uPwbBZFjjGgGUA6NLw09EwE0CqkOc4q9oUmW1yo/edit?usp=sharing"",""แพร่!L333"")"),0)</f>
        <v>0</v>
      </c>
      <c r="M438" s="168"/>
      <c r="N438" s="168">
        <f ca="1">IFERROR(__xludf.DUMMYFUNCTION("IMPORTRANGE(""https://docs.google.com/spreadsheets/d/11923uPwbBZFjjGgGUA6NLw09EwE0CqkOc4q9oUmW1yo/edit?usp=sharing"",""แพร่!M333"")"),0)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IFERROR(__xludf.DUMMYFUNCTION("IMPORTRANGE(""https://docs.google.com/spreadsheets/d/11923uPwbBZFjjGgGUA6NLw09EwE0CqkOc4q9oUmW1yo/edit?usp=sharing"",""แพร่!L334"")"),100000)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IFERROR(__xludf.DUMMYFUNCTION("IMPORTRANGE(""https://docs.google.com/spreadsheets/d/11923uPwbBZFjjGgGUA6NLw09EwE0CqkOc4q9oUmW1yo/edit?usp=sharing"",""แพร่!M334"")"),100000)</f>
        <v>100000</v>
      </c>
      <c r="O439" s="168">
        <f t="shared" ca="1" si="114"/>
        <v>100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IFERROR(__xludf.DUMMYFUNCTION("IMPORTRANGE(""https://docs.google.com/spreadsheets/d/11923uPwbBZFjjGgGUA6NLw09EwE0CqkOc4q9oUmW1yo/edit?usp=sharing"",""แพร่!M335"")"),96651)</f>
        <v>96651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IFERROR(__xludf.DUMMYFUNCTION("IMPORTRANGE(""https://docs.google.com/spreadsheets/d/11923uPwbBZFjjGgGUA6NLw09EwE0CqkOc4q9oUmW1yo/edit?usp=sharing"",""แพร่!M336"")"),0)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IFERROR(__xludf.DUMMYFUNCTION("IMPORTRANGE(""https://docs.google.com/spreadsheets/d/11923uPwbBZFjjGgGUA6NLw09EwE0CqkOc4q9oUmW1yo/edit?usp=sharing"",""แพร่!M337"")"),0)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IFERROR(__xludf.DUMMYFUNCTION("IMPORTRANGE(""https://docs.google.com/spreadsheets/d/11923uPwbBZFjjGgGUA6NLw09EwE0CqkOc4q9oUmW1yo/edit?usp=sharing"",""แพร่!M338"")"),3349)</f>
        <v>3349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IFERROR(__xludf.DUMMYFUNCTION("IMPORTRANGE(""https://docs.google.com/spreadsheets/d/11923uPwbBZFjjGgGUA6NLw09EwE0CqkOc4q9oUmW1yo/edit?usp=sharing"",""แพร่!J340"")"),0)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IFERROR(__xludf.DUMMYFUNCTION("IMPORTRANGE(""https://docs.google.com/spreadsheets/d/11923uPwbBZFjjGgGUA6NLw09EwE0CqkOc4q9oUmW1yo/edit?usp=sharing"",""แพร่!J341"")"),1)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IFERROR(__xludf.DUMMYFUNCTION("IMPORTRANGE(""https://docs.google.com/spreadsheets/d/11923uPwbBZFjjGgGUA6NLw09EwE0CqkOc4q9oUmW1yo/edit?usp=sharing"",""แพร่!J342"")"),1)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IFERROR(__xludf.DUMMYFUNCTION("IMPORTRANGE(""https://docs.google.com/spreadsheets/d/11923uPwbBZFjjGgGUA6NLw09EwE0CqkOc4q9oUmW1yo/edit?usp=sharing"",""แพร่!J343"")"),1)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IFERROR(__xludf.DUMMYFUNCTION("IMPORTRANGE(""https://docs.google.com/spreadsheets/d/11923uPwbBZFjjGgGUA6NLw09EwE0CqkOc4q9oUmW1yo/edit?usp=sharing"",""แพร่!I344"")"),20)</f>
        <v>20</v>
      </c>
      <c r="J449" s="200">
        <f ca="1">IFERROR(__xludf.DUMMYFUNCTION("IMPORTRANGE(""https://docs.google.com/spreadsheets/d/11923uPwbBZFjjGgGUA6NLw09EwE0CqkOc4q9oUmW1yo/edit?usp=sharing"",""แพร่!J344"")"),20)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IFERROR(__xludf.DUMMYFUNCTION("IMPORTRANGE(""https://docs.google.com/spreadsheets/d/11923uPwbBZFjjGgGUA6NLw09EwE0CqkOc4q9oUmW1yo/edit?usp=sharing"",""แพร่!I345"")"),20)</f>
        <v>20</v>
      </c>
      <c r="J450" s="188">
        <f ca="1">IFERROR(__xludf.DUMMYFUNCTION("IMPORTRANGE(""https://docs.google.com/spreadsheets/d/11923uPwbBZFjjGgGUA6NLw09EwE0CqkOc4q9oUmW1yo/edit?usp=sharing"",""แพร่!J345"")"),20)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IFERROR(__xludf.DUMMYFUNCTION("IMPORTRANGE(""https://docs.google.com/spreadsheets/d/11923uPwbBZFjjGgGUA6NLw09EwE0CqkOc4q9oUmW1yo/edit?usp=sharing"",""แพร่!I346"")"),0)</f>
        <v>0</v>
      </c>
      <c r="J451" s="187">
        <f ca="1">IFERROR(__xludf.DUMMYFUNCTION("IMPORTRANGE(""https://docs.google.com/spreadsheets/d/11923uPwbBZFjjGgGUA6NLw09EwE0CqkOc4q9oUmW1yo/edit?usp=sharing"",""แพร่!J346"")"),0)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IFERROR(__xludf.DUMMYFUNCTION("IMPORTRANGE(""https://docs.google.com/spreadsheets/d/11923uPwbBZFjjGgGUA6NLw09EwE0CqkOc4q9oUmW1yo/edit?usp=sharing"",""แพร่!I347"")"),0)</f>
        <v>0</v>
      </c>
      <c r="J452" s="187">
        <f ca="1">IFERROR(__xludf.DUMMYFUNCTION("IMPORTRANGE(""https://docs.google.com/spreadsheets/d/11923uPwbBZFjjGgGUA6NLw09EwE0CqkOc4q9oUmW1yo/edit?usp=sharing"",""แพร่!J347"")"),0)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IFERROR(__xludf.DUMMYFUNCTION("IMPORTRANGE(""https://docs.google.com/spreadsheets/d/11923uPwbBZFjjGgGUA6NLw09EwE0CqkOc4q9oUmW1yo/edit?usp=sharing"",""แพร่!J348"")"),0)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IFERROR(__xludf.DUMMYFUNCTION("IMPORTRANGE(""https://docs.google.com/spreadsheets/d/11923uPwbBZFjjGgGUA6NLw09EwE0CqkOc4q9oUmW1yo/edit?usp=sharing"",""แพร่!J349"")"),0)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IFERROR(__xludf.DUMMYFUNCTION("IMPORTRANGE(""https://docs.google.com/spreadsheets/d/11923uPwbBZFjjGgGUA6NLw09EwE0CqkOc4q9oUmW1yo/edit?usp=sharing"",""แพร่!I350"")"),5092)</f>
        <v>5092</v>
      </c>
      <c r="J455" s="370">
        <f ca="1">IFERROR(__xludf.DUMMYFUNCTION("IMPORTRANGE(""https://docs.google.com/spreadsheets/d/11923uPwbBZFjjGgGUA6NLw09EwE0CqkOc4q9oUmW1yo/edit?usp=sharing"",""แพร่!J350"")"),5092)</f>
        <v>5092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IFERROR(__xludf.DUMMYFUNCTION("IMPORTRANGE(""https://docs.google.com/spreadsheets/d/11923uPwbBZFjjGgGUA6NLw09EwE0CqkOc4q9oUmW1yo/edit?usp=sharing"",""แพร่!L350"")"),88520)</f>
        <v>88520</v>
      </c>
      <c r="M455" s="372"/>
      <c r="N455" s="372">
        <f ca="1">IFERROR(__xludf.DUMMYFUNCTION("IMPORTRANGE(""https://docs.google.com/spreadsheets/d/11923uPwbBZFjjGgGUA6NLw09EwE0CqkOc4q9oUmW1yo/edit?usp=sharing"",""แพร่!M350"")"),43165)</f>
        <v>43165</v>
      </c>
      <c r="O455" s="372">
        <f t="shared" ref="O455:O459" ca="1" si="116">+IF(L455&gt;0,N455*100/L455,0)</f>
        <v>48.762991414369637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IFERROR(__xludf.DUMMYFUNCTION("IMPORTRANGE(""https://docs.google.com/spreadsheets/d/11923uPwbBZFjjGgGUA6NLw09EwE0CqkOc4q9oUmW1yo/edit?usp=sharing"",""แพร่!L351"")"),0)</f>
        <v>0</v>
      </c>
      <c r="M456" s="164"/>
      <c r="N456" s="168">
        <f ca="1">IFERROR(__xludf.DUMMYFUNCTION("IMPORTRANGE(""https://docs.google.com/spreadsheets/d/11923uPwbBZFjjGgGUA6NLw09EwE0CqkOc4q9oUmW1yo/edit?usp=sharing"",""แพร่!M351"")"),0)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IFERROR(__xludf.DUMMYFUNCTION("IMPORTRANGE(""https://docs.google.com/spreadsheets/d/11923uPwbBZFjjGgGUA6NLw09EwE0CqkOc4q9oUmW1yo/edit?usp=sharing"",""แพร่!L352"")"),88520)</f>
        <v>88520</v>
      </c>
      <c r="M457" s="165"/>
      <c r="N457" s="168">
        <f ca="1">IFERROR(__xludf.DUMMYFUNCTION("IMPORTRANGE(""https://docs.google.com/spreadsheets/d/11923uPwbBZFjjGgGUA6NLw09EwE0CqkOc4q9oUmW1yo/edit?usp=sharing"",""แพร่!M352"")"),43165)</f>
        <v>43165</v>
      </c>
      <c r="O457" s="168">
        <f t="shared" ca="1" si="116"/>
        <v>48.762991414369637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IFERROR(__xludf.DUMMYFUNCTION("IMPORTRANGE(""https://docs.google.com/spreadsheets/d/11923uPwbBZFjjGgGUA6NLw09EwE0CqkOc4q9oUmW1yo/edit?usp=sharing"",""แพร่!L353"")"),0)</f>
        <v>0</v>
      </c>
      <c r="M458" s="168"/>
      <c r="N458" s="168">
        <f ca="1">IFERROR(__xludf.DUMMYFUNCTION("IMPORTRANGE(""https://docs.google.com/spreadsheets/d/11923uPwbBZFjjGgGUA6NLw09EwE0CqkOc4q9oUmW1yo/edit?usp=sharing"",""แพร่!M353"")"),0)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IFERROR(__xludf.DUMMYFUNCTION("IMPORTRANGE(""https://docs.google.com/spreadsheets/d/11923uPwbBZFjjGgGUA6NLw09EwE0CqkOc4q9oUmW1yo/edit?usp=sharing"",""แพร่!L354"")"),88520)</f>
        <v>88520</v>
      </c>
      <c r="M459" s="168"/>
      <c r="N459" s="168">
        <f ca="1">IFERROR(__xludf.DUMMYFUNCTION("IMPORTRANGE(""https://docs.google.com/spreadsheets/d/11923uPwbBZFjjGgGUA6NLw09EwE0CqkOc4q9oUmW1yo/edit?usp=sharing"",""แพร่!M354"")"),43165)</f>
        <v>43165</v>
      </c>
      <c r="O459" s="168">
        <f t="shared" ca="1" si="116"/>
        <v>48.762991414369637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IFERROR(__xludf.DUMMYFUNCTION("IMPORTRANGE(""https://docs.google.com/spreadsheets/d/11923uPwbBZFjjGgGUA6NLw09EwE0CqkOc4q9oUmW1yo/edit?usp=sharing"",""แพร่!M355"")"),0)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IFERROR(__xludf.DUMMYFUNCTION("IMPORTRANGE(""https://docs.google.com/spreadsheets/d/11923uPwbBZFjjGgGUA6NLw09EwE0CqkOc4q9oUmW1yo/edit?usp=sharing"",""แพร่!M356"")"),0)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IFERROR(__xludf.DUMMYFUNCTION("IMPORTRANGE(""https://docs.google.com/spreadsheets/d/11923uPwbBZFjjGgGUA6NLw09EwE0CqkOc4q9oUmW1yo/edit?usp=sharing"",""แพร่!M357"")"),0)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IFERROR(__xludf.DUMMYFUNCTION("IMPORTRANGE(""https://docs.google.com/spreadsheets/d/11923uPwbBZFjjGgGUA6NLw09EwE0CqkOc4q9oUmW1yo/edit?usp=sharing"",""แพร่!M358"")"),43165)</f>
        <v>43165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IFERROR(__xludf.DUMMYFUNCTION("IMPORTRANGE(""https://docs.google.com/spreadsheets/d/11923uPwbBZFjjGgGUA6NLw09EwE0CqkOc4q9oUmW1yo/edit?usp=sharing"",""แพร่!I359"")"),5092)</f>
        <v>5092</v>
      </c>
      <c r="J464" s="267">
        <f ca="1">IFERROR(__xludf.DUMMYFUNCTION("IMPORTRANGE(""https://docs.google.com/spreadsheets/d/11923uPwbBZFjjGgGUA6NLw09EwE0CqkOc4q9oUmW1yo/edit?usp=sharing"",""แพร่!J359"")"),5092)</f>
        <v>5092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IFERROR(__xludf.DUMMYFUNCTION("IMPORTRANGE(""https://docs.google.com/spreadsheets/d/11923uPwbBZFjjGgGUA6NLw09EwE0CqkOc4q9oUmW1yo/edit?usp=sharing"",""แพร่!I360"")"),5092)</f>
        <v>5092</v>
      </c>
      <c r="J465" s="420">
        <f ca="1">IFERROR(__xludf.DUMMYFUNCTION("IMPORTRANGE(""https://docs.google.com/spreadsheets/d/11923uPwbBZFjjGgGUA6NLw09EwE0CqkOc4q9oUmW1yo/edit?usp=sharing"",""แพร่!J360"")"),5091.99)</f>
        <v>5091.99</v>
      </c>
      <c r="K465" s="201">
        <f t="shared" ca="1" si="117"/>
        <v>99.999803613511389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IFERROR(__xludf.DUMMYFUNCTION("IMPORTRANGE(""https://docs.google.com/spreadsheets/d/11923uPwbBZFjjGgGUA6NLw09EwE0CqkOc4q9oUmW1yo/edit?usp=sharing"",""แพร่!I361"")"),1189)</f>
        <v>1189</v>
      </c>
      <c r="J466" s="420">
        <f ca="1">IFERROR(__xludf.DUMMYFUNCTION("IMPORTRANGE(""https://docs.google.com/spreadsheets/d/11923uPwbBZFjjGgGUA6NLw09EwE0CqkOc4q9oUmW1yo/edit?usp=sharing"",""แพร่!J361"")"),1189)</f>
        <v>1189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IFERROR(__xludf.DUMMYFUNCTION("IMPORTRANGE(""https://docs.google.com/spreadsheets/d/11923uPwbBZFjjGgGUA6NLw09EwE0CqkOc4q9oUmW1yo/edit?usp=sharing"",""แพร่!I362"")"),0)</f>
        <v>0</v>
      </c>
      <c r="J467" s="188">
        <f ca="1">IFERROR(__xludf.DUMMYFUNCTION("IMPORTRANGE(""https://docs.google.com/spreadsheets/d/11923uPwbBZFjjGgGUA6NLw09EwE0CqkOc4q9oUmW1yo/edit?usp=sharing"",""แพร่!J362"")"),3692)</f>
        <v>3692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IFERROR(__xludf.DUMMYFUNCTION("IMPORTRANGE(""https://docs.google.com/spreadsheets/d/11923uPwbBZFjjGgGUA6NLw09EwE0CqkOc4q9oUmW1yo/edit?usp=sharing"",""แพร่!I363"")"),0)</f>
        <v>0</v>
      </c>
      <c r="J468" s="188">
        <f ca="1">IFERROR(__xludf.DUMMYFUNCTION("IMPORTRANGE(""https://docs.google.com/spreadsheets/d/11923uPwbBZFjjGgGUA6NLw09EwE0CqkOc4q9oUmW1yo/edit?usp=sharing"",""แพร่!J363"")"),859)</f>
        <v>859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IFERROR(__xludf.DUMMYFUNCTION("IMPORTRANGE(""https://docs.google.com/spreadsheets/d/11923uPwbBZFjjGgGUA6NLw09EwE0CqkOc4q9oUmW1yo/edit?usp=sharing"",""แพร่!I364"")"),0)</f>
        <v>0</v>
      </c>
      <c r="J469" s="188">
        <f ca="1">IFERROR(__xludf.DUMMYFUNCTION("IMPORTRANGE(""https://docs.google.com/spreadsheets/d/11923uPwbBZFjjGgGUA6NLw09EwE0CqkOc4q9oUmW1yo/edit?usp=sharing"",""แพร่!J364"")"),1311)</f>
        <v>1311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IFERROR(__xludf.DUMMYFUNCTION("IMPORTRANGE(""https://docs.google.com/spreadsheets/d/11923uPwbBZFjjGgGUA6NLw09EwE0CqkOc4q9oUmW1yo/edit?usp=sharing"",""แพร่!I365"")"),0)</f>
        <v>0</v>
      </c>
      <c r="J470" s="188">
        <f ca="1">IFERROR(__xludf.DUMMYFUNCTION("IMPORTRANGE(""https://docs.google.com/spreadsheets/d/11923uPwbBZFjjGgGUA6NLw09EwE0CqkOc4q9oUmW1yo/edit?usp=sharing"",""แพร่!J365"")"),308)</f>
        <v>308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IFERROR(__xludf.DUMMYFUNCTION("IMPORTRANGE(""https://docs.google.com/spreadsheets/d/11923uPwbBZFjjGgGUA6NLw09EwE0CqkOc4q9oUmW1yo/edit?usp=sharing"",""แพร่!I366"")"),0)</f>
        <v>0</v>
      </c>
      <c r="J471" s="188">
        <f ca="1">IFERROR(__xludf.DUMMYFUNCTION("IMPORTRANGE(""https://docs.google.com/spreadsheets/d/11923uPwbBZFjjGgGUA6NLw09EwE0CqkOc4q9oUmW1yo/edit?usp=sharing"",""แพร่!J366"")"),88.99)</f>
        <v>88.99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IFERROR(__xludf.DUMMYFUNCTION("IMPORTRANGE(""https://docs.google.com/spreadsheets/d/11923uPwbBZFjjGgGUA6NLw09EwE0CqkOc4q9oUmW1yo/edit?usp=sharing"",""แพร่!I367"")"),0)</f>
        <v>0</v>
      </c>
      <c r="J472" s="188">
        <f ca="1">IFERROR(__xludf.DUMMYFUNCTION("IMPORTRANGE(""https://docs.google.com/spreadsheets/d/11923uPwbBZFjjGgGUA6NLw09EwE0CqkOc4q9oUmW1yo/edit?usp=sharing"",""แพร่!J367"")"),22)</f>
        <v>22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IFERROR(__xludf.DUMMYFUNCTION("IMPORTRANGE(""https://docs.google.com/spreadsheets/d/11923uPwbBZFjjGgGUA6NLw09EwE0CqkOc4q9oUmW1yo/edit?usp=sharing"",""แพร่!I368"")"),5092)</f>
        <v>5092</v>
      </c>
      <c r="J473" s="420">
        <f ca="1">IFERROR(__xludf.DUMMYFUNCTION("IMPORTRANGE(""https://docs.google.com/spreadsheets/d/11923uPwbBZFjjGgGUA6NLw09EwE0CqkOc4q9oUmW1yo/edit?usp=sharing"",""แพร่!J368"")"),5092)</f>
        <v>5092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IFERROR(__xludf.DUMMYFUNCTION("IMPORTRANGE(""https://docs.google.com/spreadsheets/d/11923uPwbBZFjjGgGUA6NLw09EwE0CqkOc4q9oUmW1yo/edit?usp=sharing"",""แพร่!I369"")"),1189)</f>
        <v>1189</v>
      </c>
      <c r="J474" s="420">
        <f ca="1">IFERROR(__xludf.DUMMYFUNCTION("IMPORTRANGE(""https://docs.google.com/spreadsheets/d/11923uPwbBZFjjGgGUA6NLw09EwE0CqkOc4q9oUmW1yo/edit?usp=sharing"",""แพร่!J369"")"),1189)</f>
        <v>1189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IFERROR(__xludf.DUMMYFUNCTION("IMPORTRANGE(""https://docs.google.com/spreadsheets/d/11923uPwbBZFjjGgGUA6NLw09EwE0CqkOc4q9oUmW1yo/edit?usp=sharing"",""แพร่!I370"")"),0)</f>
        <v>0</v>
      </c>
      <c r="J475" s="188">
        <f ca="1">IFERROR(__xludf.DUMMYFUNCTION("IMPORTRANGE(""https://docs.google.com/spreadsheets/d/11923uPwbBZFjjGgGUA6NLw09EwE0CqkOc4q9oUmW1yo/edit?usp=sharing"",""แพร่!J370"")"),3890)</f>
        <v>3890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IFERROR(__xludf.DUMMYFUNCTION("IMPORTRANGE(""https://docs.google.com/spreadsheets/d/11923uPwbBZFjjGgGUA6NLw09EwE0CqkOc4q9oUmW1yo/edit?usp=sharing"",""แพร่!I371"")"),0)</f>
        <v>0</v>
      </c>
      <c r="J476" s="188">
        <f ca="1">IFERROR(__xludf.DUMMYFUNCTION("IMPORTRANGE(""https://docs.google.com/spreadsheets/d/11923uPwbBZFjjGgGUA6NLw09EwE0CqkOc4q9oUmW1yo/edit?usp=sharing"",""แพร่!J371"")"),903)</f>
        <v>903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IFERROR(__xludf.DUMMYFUNCTION("IMPORTRANGE(""https://docs.google.com/spreadsheets/d/11923uPwbBZFjjGgGUA6NLw09EwE0CqkOc4q9oUmW1yo/edit?usp=sharing"",""แพร่!I372"")"),0)</f>
        <v>0</v>
      </c>
      <c r="J477" s="188">
        <f ca="1">IFERROR(__xludf.DUMMYFUNCTION("IMPORTRANGE(""https://docs.google.com/spreadsheets/d/11923uPwbBZFjjGgGUA6NLw09EwE0CqkOc4q9oUmW1yo/edit?usp=sharing"",""แพร่!J372"")"),1089)</f>
        <v>1089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IFERROR(__xludf.DUMMYFUNCTION("IMPORTRANGE(""https://docs.google.com/spreadsheets/d/11923uPwbBZFjjGgGUA6NLw09EwE0CqkOc4q9oUmW1yo/edit?usp=sharing"",""แพร่!I373"")"),0)</f>
        <v>0</v>
      </c>
      <c r="J478" s="188">
        <f ca="1">IFERROR(__xludf.DUMMYFUNCTION("IMPORTRANGE(""https://docs.google.com/spreadsheets/d/11923uPwbBZFjjGgGUA6NLw09EwE0CqkOc4q9oUmW1yo/edit?usp=sharing"",""แพร่!J373"")"),258)</f>
        <v>258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IFERROR(__xludf.DUMMYFUNCTION("IMPORTRANGE(""https://docs.google.com/spreadsheets/d/11923uPwbBZFjjGgGUA6NLw09EwE0CqkOc4q9oUmW1yo/edit?usp=sharing"",""แพร่!I374"")"),0)</f>
        <v>0</v>
      </c>
      <c r="J479" s="188">
        <f ca="1">IFERROR(__xludf.DUMMYFUNCTION("IMPORTRANGE(""https://docs.google.com/spreadsheets/d/11923uPwbBZFjjGgGUA6NLw09EwE0CqkOc4q9oUmW1yo/edit?usp=sharing"",""แพร่!J374"")"),113)</f>
        <v>113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IFERROR(__xludf.DUMMYFUNCTION("IMPORTRANGE(""https://docs.google.com/spreadsheets/d/11923uPwbBZFjjGgGUA6NLw09EwE0CqkOc4q9oUmW1yo/edit?usp=sharing"",""แพร่!I375"")"),0)</f>
        <v>0</v>
      </c>
      <c r="J480" s="188">
        <f ca="1">IFERROR(__xludf.DUMMYFUNCTION("IMPORTRANGE(""https://docs.google.com/spreadsheets/d/11923uPwbBZFjjGgGUA6NLw09EwE0CqkOc4q9oUmW1yo/edit?usp=sharing"",""แพร่!J375"")"),28)</f>
        <v>28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IFERROR(__xludf.DUMMYFUNCTION("IMPORTRANGE(""https://docs.google.com/spreadsheets/d/11923uPwbBZFjjGgGUA6NLw09EwE0CqkOc4q9oUmW1yo/edit?usp=sharing"",""แพร่!I376"")"),5092)</f>
        <v>5092</v>
      </c>
      <c r="J481" s="420">
        <f ca="1">IFERROR(__xludf.DUMMYFUNCTION("IMPORTRANGE(""https://docs.google.com/spreadsheets/d/11923uPwbBZFjjGgGUA6NLw09EwE0CqkOc4q9oUmW1yo/edit?usp=sharing"",""แพร่!J376"")"),5092)</f>
        <v>5092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IFERROR(__xludf.DUMMYFUNCTION("IMPORTRANGE(""https://docs.google.com/spreadsheets/d/11923uPwbBZFjjGgGUA6NLw09EwE0CqkOc4q9oUmW1yo/edit?usp=sharing"",""แพร่!I377"")"),1189)</f>
        <v>1189</v>
      </c>
      <c r="J482" s="420">
        <f ca="1">IFERROR(__xludf.DUMMYFUNCTION("IMPORTRANGE(""https://docs.google.com/spreadsheets/d/11923uPwbBZFjjGgGUA6NLw09EwE0CqkOc4q9oUmW1yo/edit?usp=sharing"",""แพร่!J377"")"),1189)</f>
        <v>1189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IFERROR(__xludf.DUMMYFUNCTION("IMPORTRANGE(""https://docs.google.com/spreadsheets/d/11923uPwbBZFjjGgGUA6NLw09EwE0CqkOc4q9oUmW1yo/edit?usp=sharing"",""แพร่!I378"")"),0)</f>
        <v>0</v>
      </c>
      <c r="J483" s="188">
        <f ca="1">IFERROR(__xludf.DUMMYFUNCTION("IMPORTRANGE(""https://docs.google.com/spreadsheets/d/11923uPwbBZFjjGgGUA6NLw09EwE0CqkOc4q9oUmW1yo/edit?usp=sharing"",""แพร่!J378"")"),3579)</f>
        <v>3579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IFERROR(__xludf.DUMMYFUNCTION("IMPORTRANGE(""https://docs.google.com/spreadsheets/d/11923uPwbBZFjjGgGUA6NLw09EwE0CqkOc4q9oUmW1yo/edit?usp=sharing"",""แพร่!I379"")"),0)</f>
        <v>0</v>
      </c>
      <c r="J484" s="188">
        <f ca="1">IFERROR(__xludf.DUMMYFUNCTION("IMPORTRANGE(""https://docs.google.com/spreadsheets/d/11923uPwbBZFjjGgGUA6NLw09EwE0CqkOc4q9oUmW1yo/edit?usp=sharing"",""แพร่!J379"")"),848)</f>
        <v>848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IFERROR(__xludf.DUMMYFUNCTION("IMPORTRANGE(""https://docs.google.com/spreadsheets/d/11923uPwbBZFjjGgGUA6NLw09EwE0CqkOc4q9oUmW1yo/edit?usp=sharing"",""แพร่!I380"")"),0)</f>
        <v>0</v>
      </c>
      <c r="J485" s="188">
        <f ca="1">IFERROR(__xludf.DUMMYFUNCTION("IMPORTRANGE(""https://docs.google.com/spreadsheets/d/11923uPwbBZFjjGgGUA6NLw09EwE0CqkOc4q9oUmW1yo/edit?usp=sharing"",""แพร่!J380"")"),1400)</f>
        <v>1400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IFERROR(__xludf.DUMMYFUNCTION("IMPORTRANGE(""https://docs.google.com/spreadsheets/d/11923uPwbBZFjjGgGUA6NLw09EwE0CqkOc4q9oUmW1yo/edit?usp=sharing"",""แพร่!I381"")"),0)</f>
        <v>0</v>
      </c>
      <c r="J486" s="188">
        <f ca="1">IFERROR(__xludf.DUMMYFUNCTION("IMPORTRANGE(""https://docs.google.com/spreadsheets/d/11923uPwbBZFjjGgGUA6NLw09EwE0CqkOc4q9oUmW1yo/edit?usp=sharing"",""แพร่!J381"")"),313)</f>
        <v>313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IFERROR(__xludf.DUMMYFUNCTION("IMPORTRANGE(""https://docs.google.com/spreadsheets/d/11923uPwbBZFjjGgGUA6NLw09EwE0CqkOc4q9oUmW1yo/edit?usp=sharing"",""แพร่!I382"")"),0)</f>
        <v>0</v>
      </c>
      <c r="J487" s="420">
        <f ca="1">IFERROR(__xludf.DUMMYFUNCTION("IMPORTRANGE(""https://docs.google.com/spreadsheets/d/11923uPwbBZFjjGgGUA6NLw09EwE0CqkOc4q9oUmW1yo/edit?usp=sharing"",""แพร่!J382"")"),113)</f>
        <v>113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IFERROR(__xludf.DUMMYFUNCTION("IMPORTRANGE(""https://docs.google.com/spreadsheets/d/11923uPwbBZFjjGgGUA6NLw09EwE0CqkOc4q9oUmW1yo/edit?usp=sharing"",""แพร่!I383"")"),0)</f>
        <v>0</v>
      </c>
      <c r="J488" s="420">
        <f ca="1">IFERROR(__xludf.DUMMYFUNCTION("IMPORTRANGE(""https://docs.google.com/spreadsheets/d/11923uPwbBZFjjGgGUA6NLw09EwE0CqkOc4q9oUmW1yo/edit?usp=sharing"",""แพร่!J383"")"),28)</f>
        <v>28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IFERROR(__xludf.DUMMYFUNCTION("IMPORTRANGE(""https://docs.google.com/spreadsheets/d/11923uPwbBZFjjGgGUA6NLw09EwE0CqkOc4q9oUmW1yo/edit?usp=sharing"",""แพร่!I384"")"),0)</f>
        <v>0</v>
      </c>
      <c r="J489" s="188">
        <f ca="1">IFERROR(__xludf.DUMMYFUNCTION("IMPORTRANGE(""https://docs.google.com/spreadsheets/d/11923uPwbBZFjjGgGUA6NLw09EwE0CqkOc4q9oUmW1yo/edit?usp=sharing"",""แพร่!J384"")"),113)</f>
        <v>113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IFERROR(__xludf.DUMMYFUNCTION("IMPORTRANGE(""https://docs.google.com/spreadsheets/d/11923uPwbBZFjjGgGUA6NLw09EwE0CqkOc4q9oUmW1yo/edit?usp=sharing"",""แพร่!I385"")"),0)</f>
        <v>0</v>
      </c>
      <c r="J490" s="188">
        <f ca="1">IFERROR(__xludf.DUMMYFUNCTION("IMPORTRANGE(""https://docs.google.com/spreadsheets/d/11923uPwbBZFjjGgGUA6NLw09EwE0CqkOc4q9oUmW1yo/edit?usp=sharing"",""แพร่!J385"")"),28)</f>
        <v>28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IFERROR(__xludf.DUMMYFUNCTION("IMPORTRANGE(""https://docs.google.com/spreadsheets/d/11923uPwbBZFjjGgGUA6NLw09EwE0CqkOc4q9oUmW1yo/edit?usp=sharing"",""แพร่!I386"")"),0)</f>
        <v>0</v>
      </c>
      <c r="J491" s="188">
        <f ca="1">IFERROR(__xludf.DUMMYFUNCTION("IMPORTRANGE(""https://docs.google.com/spreadsheets/d/11923uPwbBZFjjGgGUA6NLw09EwE0CqkOc4q9oUmW1yo/edit?usp=sharing"",""แพร่!J386"")"),0)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IFERROR(__xludf.DUMMYFUNCTION("IMPORTRANGE(""https://docs.google.com/spreadsheets/d/11923uPwbBZFjjGgGUA6NLw09EwE0CqkOc4q9oUmW1yo/edit?usp=sharing"",""แพร่!I387"")"),0)</f>
        <v>0</v>
      </c>
      <c r="J492" s="188">
        <f ca="1">IFERROR(__xludf.DUMMYFUNCTION("IMPORTRANGE(""https://docs.google.com/spreadsheets/d/11923uPwbBZFjjGgGUA6NLw09EwE0CqkOc4q9oUmW1yo/edit?usp=sharing"",""แพร่!J387"")"),0)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IFERROR(__xludf.DUMMYFUNCTION("IMPORTRANGE(""https://docs.google.com/spreadsheets/d/11923uPwbBZFjjGgGUA6NLw09EwE0CqkOc4q9oUmW1yo/edit?usp=sharing"",""แพร่!I388"")"),0)</f>
        <v>0</v>
      </c>
      <c r="J493" s="188">
        <f ca="1">IFERROR(__xludf.DUMMYFUNCTION("IMPORTRANGE(""https://docs.google.com/spreadsheets/d/11923uPwbBZFjjGgGUA6NLw09EwE0CqkOc4q9oUmW1yo/edit?usp=sharing"",""แพร่!J388"")"),0)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IFERROR(__xludf.DUMMYFUNCTION("IMPORTRANGE(""https://docs.google.com/spreadsheets/d/11923uPwbBZFjjGgGUA6NLw09EwE0CqkOc4q9oUmW1yo/edit?usp=sharing"",""แพร่!I389"")"),0)</f>
        <v>0</v>
      </c>
      <c r="J494" s="436">
        <f ca="1">IFERROR(__xludf.DUMMYFUNCTION("IMPORTRANGE(""https://docs.google.com/spreadsheets/d/11923uPwbBZFjjGgGUA6NLw09EwE0CqkOc4q9oUmW1yo/edit?usp=sharing"",""แพร่!J389"")"),0)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IFERROR(__xludf.DUMMYFUNCTION("IMPORTRANGE(""https://docs.google.com/spreadsheets/d/11923uPwbBZFjjGgGUA6NLw09EwE0CqkOc4q9oUmW1yo/edit?usp=sharing"",""แพร่!I390"")"),0)</f>
        <v>0</v>
      </c>
      <c r="J495" s="436">
        <f ca="1">IFERROR(__xludf.DUMMYFUNCTION("IMPORTRANGE(""https://docs.google.com/spreadsheets/d/11923uPwbBZFjjGgGUA6NLw09EwE0CqkOc4q9oUmW1yo/edit?usp=sharing"",""แพร่!J390"")"),0)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IFERROR(__xludf.DUMMYFUNCTION("IMPORTRANGE(""https://docs.google.com/spreadsheets/d/11923uPwbBZFjjGgGUA6NLw09EwE0CqkOc4q9oUmW1yo/edit?usp=sharing"",""แพร่!I391"")"),0)</f>
        <v>0</v>
      </c>
      <c r="J496" s="436">
        <f ca="1">IFERROR(__xludf.DUMMYFUNCTION("IMPORTRANGE(""https://docs.google.com/spreadsheets/d/11923uPwbBZFjjGgGUA6NLw09EwE0CqkOc4q9oUmW1yo/edit?usp=sharing"",""แพร่!J391"")"),0)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IFERROR(__xludf.DUMMYFUNCTION("IMPORTRANGE(""https://docs.google.com/spreadsheets/d/11923uPwbBZFjjGgGUA6NLw09EwE0CqkOc4q9oUmW1yo/edit?usp=sharing"",""แพร่!I392"")"),139)</f>
        <v>139</v>
      </c>
      <c r="J497" s="443">
        <f ca="1">IFERROR(__xludf.DUMMYFUNCTION("IMPORTRANGE(""https://docs.google.com/spreadsheets/d/11923uPwbBZFjjGgGUA6NLw09EwE0CqkOc4q9oUmW1yo/edit?usp=sharing"",""แพร่!J392"")"),0)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IFERROR(__xludf.DUMMYFUNCTION("IMPORTRANGE(""https://docs.google.com/spreadsheets/d/11923uPwbBZFjjGgGUA6NLw09EwE0CqkOc4q9oUmW1yo/edit?usp=sharing"",""แพร่!I393"")"),139)</f>
        <v>139</v>
      </c>
      <c r="J498" s="420">
        <f ca="1">IFERROR(__xludf.DUMMYFUNCTION("IMPORTRANGE(""https://docs.google.com/spreadsheets/d/11923uPwbBZFjjGgGUA6NLw09EwE0CqkOc4q9oUmW1yo/edit?usp=sharing"",""แพร่!J393"")"),0)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IFERROR(__xludf.DUMMYFUNCTION("IMPORTRANGE(""https://docs.google.com/spreadsheets/d/11923uPwbBZFjjGgGUA6NLw09EwE0CqkOc4q9oUmW1yo/edit?usp=sharing"",""แพร่!I394"")"),32)</f>
        <v>32</v>
      </c>
      <c r="J499" s="420">
        <f ca="1">IFERROR(__xludf.DUMMYFUNCTION("IMPORTRANGE(""https://docs.google.com/spreadsheets/d/11923uPwbBZFjjGgGUA6NLw09EwE0CqkOc4q9oUmW1yo/edit?usp=sharing"",""แพร่!J394"")"),0)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IFERROR(__xludf.DUMMYFUNCTION("IMPORTRANGE(""https://docs.google.com/spreadsheets/d/11923uPwbBZFjjGgGUA6NLw09EwE0CqkOc4q9oUmW1yo/edit?usp=sharing"",""แพร่!I395"")"),0)</f>
        <v>0</v>
      </c>
      <c r="J500" s="162">
        <f ca="1">IFERROR(__xludf.DUMMYFUNCTION("IMPORTRANGE(""https://docs.google.com/spreadsheets/d/11923uPwbBZFjjGgGUA6NLw09EwE0CqkOc4q9oUmW1yo/edit?usp=sharing"",""แพร่!J395"")"),0)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IFERROR(__xludf.DUMMYFUNCTION("IMPORTRANGE(""https://docs.google.com/spreadsheets/d/11923uPwbBZFjjGgGUA6NLw09EwE0CqkOc4q9oUmW1yo/edit?usp=sharing"",""แพร่!I396"")"),0)</f>
        <v>0</v>
      </c>
      <c r="J501" s="162">
        <f ca="1">IFERROR(__xludf.DUMMYFUNCTION("IMPORTRANGE(""https://docs.google.com/spreadsheets/d/11923uPwbBZFjjGgGUA6NLw09EwE0CqkOc4q9oUmW1yo/edit?usp=sharing"",""แพร่!J396"")"),0)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IFERROR(__xludf.DUMMYFUNCTION("IMPORTRANGE(""https://docs.google.com/spreadsheets/d/11923uPwbBZFjjGgGUA6NLw09EwE0CqkOc4q9oUmW1yo/edit?usp=sharing"",""แพร่!I397"")"),0)</f>
        <v>0</v>
      </c>
      <c r="J502" s="188">
        <f ca="1">IFERROR(__xludf.DUMMYFUNCTION("IMPORTRANGE(""https://docs.google.com/spreadsheets/d/11923uPwbBZFjjGgGUA6NLw09EwE0CqkOc4q9oUmW1yo/edit?usp=sharing"",""แพร่!J397"")"),0)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IFERROR(__xludf.DUMMYFUNCTION("IMPORTRANGE(""https://docs.google.com/spreadsheets/d/11923uPwbBZFjjGgGUA6NLw09EwE0CqkOc4q9oUmW1yo/edit?usp=sharing"",""แพร่!I398"")"),0)</f>
        <v>0</v>
      </c>
      <c r="J503" s="197">
        <f ca="1">IFERROR(__xludf.DUMMYFUNCTION("IMPORTRANGE(""https://docs.google.com/spreadsheets/d/11923uPwbBZFjjGgGUA6NLw09EwE0CqkOc4q9oUmW1yo/edit?usp=sharing"",""แพร่!J398"")"),0)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IFERROR(__xludf.DUMMYFUNCTION("IMPORTRANGE(""https://docs.google.com/spreadsheets/d/11923uPwbBZFjjGgGUA6NLw09EwE0CqkOc4q9oUmW1yo/edit?usp=sharing"",""แพร่!I399"")"),0)</f>
        <v>0</v>
      </c>
      <c r="J504" s="188">
        <f ca="1">IFERROR(__xludf.DUMMYFUNCTION("IMPORTRANGE(""https://docs.google.com/spreadsheets/d/11923uPwbBZFjjGgGUA6NLw09EwE0CqkOc4q9oUmW1yo/edit?usp=sharing"",""แพร่!J399"")"),0)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IFERROR(__xludf.DUMMYFUNCTION("IMPORTRANGE(""https://docs.google.com/spreadsheets/d/11923uPwbBZFjjGgGUA6NLw09EwE0CqkOc4q9oUmW1yo/edit?usp=sharing"",""แพร่!I400"")"),0)</f>
        <v>0</v>
      </c>
      <c r="J505" s="197">
        <f ca="1">IFERROR(__xludf.DUMMYFUNCTION("IMPORTRANGE(""https://docs.google.com/spreadsheets/d/11923uPwbBZFjjGgGUA6NLw09EwE0CqkOc4q9oUmW1yo/edit?usp=sharing"",""แพร่!J400"")"),0)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IFERROR(__xludf.DUMMYFUNCTION("IMPORTRANGE(""https://docs.google.com/spreadsheets/d/11923uPwbBZFjjGgGUA6NLw09EwE0CqkOc4q9oUmW1yo/edit?usp=sharing"",""แพร่!I401"")"),0)</f>
        <v>0</v>
      </c>
      <c r="J506" s="188">
        <f ca="1">IFERROR(__xludf.DUMMYFUNCTION("IMPORTRANGE(""https://docs.google.com/spreadsheets/d/11923uPwbBZFjjGgGUA6NLw09EwE0CqkOc4q9oUmW1yo/edit?usp=sharing"",""แพร่!J401"")"),0)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IFERROR(__xludf.DUMMYFUNCTION("IMPORTRANGE(""https://docs.google.com/spreadsheets/d/11923uPwbBZFjjGgGUA6NLw09EwE0CqkOc4q9oUmW1yo/edit?usp=sharing"",""แพร่!I402"")"),0)</f>
        <v>0</v>
      </c>
      <c r="J507" s="197">
        <f ca="1">IFERROR(__xludf.DUMMYFUNCTION("IMPORTRANGE(""https://docs.google.com/spreadsheets/d/11923uPwbBZFjjGgGUA6NLw09EwE0CqkOc4q9oUmW1yo/edit?usp=sharing"",""แพร่!J402"")"),0)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IFERROR(__xludf.DUMMYFUNCTION("IMPORTRANGE(""https://docs.google.com/spreadsheets/d/11923uPwbBZFjjGgGUA6NLw09EwE0CqkOc4q9oUmW1yo/edit?usp=sharing"",""แพร่!I403"")"),0)</f>
        <v>0</v>
      </c>
      <c r="J508" s="162">
        <f ca="1">IFERROR(__xludf.DUMMYFUNCTION("IMPORTRANGE(""https://docs.google.com/spreadsheets/d/11923uPwbBZFjjGgGUA6NLw09EwE0CqkOc4q9oUmW1yo/edit?usp=sharing"",""แพร่!J403"")"),0)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IFERROR(__xludf.DUMMYFUNCTION("IMPORTRANGE(""https://docs.google.com/spreadsheets/d/11923uPwbBZFjjGgGUA6NLw09EwE0CqkOc4q9oUmW1yo/edit?usp=sharing"",""แพร่!I404"")"),0)</f>
        <v>0</v>
      </c>
      <c r="J509" s="162">
        <f ca="1">IFERROR(__xludf.DUMMYFUNCTION("IMPORTRANGE(""https://docs.google.com/spreadsheets/d/11923uPwbBZFjjGgGUA6NLw09EwE0CqkOc4q9oUmW1yo/edit?usp=sharing"",""แพร่!J404"")"),0)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IFERROR(__xludf.DUMMYFUNCTION("IMPORTRANGE(""https://docs.google.com/spreadsheets/d/11923uPwbBZFjjGgGUA6NLw09EwE0CqkOc4q9oUmW1yo/edit?usp=sharing"",""แพร่!I405"")"),0)</f>
        <v>0</v>
      </c>
      <c r="J510" s="197">
        <f ca="1">IFERROR(__xludf.DUMMYFUNCTION("IMPORTRANGE(""https://docs.google.com/spreadsheets/d/11923uPwbBZFjjGgGUA6NLw09EwE0CqkOc4q9oUmW1yo/edit?usp=sharing"",""แพร่!J405"")"),0)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IFERROR(__xludf.DUMMYFUNCTION("IMPORTRANGE(""https://docs.google.com/spreadsheets/d/11923uPwbBZFjjGgGUA6NLw09EwE0CqkOc4q9oUmW1yo/edit?usp=sharing"",""แพร่!I406"")"),0)</f>
        <v>0</v>
      </c>
      <c r="J511" s="197">
        <f ca="1">IFERROR(__xludf.DUMMYFUNCTION("IMPORTRANGE(""https://docs.google.com/spreadsheets/d/11923uPwbBZFjjGgGUA6NLw09EwE0CqkOc4q9oUmW1yo/edit?usp=sharing"",""แพร่!J406"")"),0)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IFERROR(__xludf.DUMMYFUNCTION("IMPORTRANGE(""https://docs.google.com/spreadsheets/d/11923uPwbBZFjjGgGUA6NLw09EwE0CqkOc4q9oUmW1yo/edit?usp=sharing"",""แพร่!I407"")"),0)</f>
        <v>0</v>
      </c>
      <c r="J512" s="197">
        <f ca="1">IFERROR(__xludf.DUMMYFUNCTION("IMPORTRANGE(""https://docs.google.com/spreadsheets/d/11923uPwbBZFjjGgGUA6NLw09EwE0CqkOc4q9oUmW1yo/edit?usp=sharing"",""แพร่!J407"")"),0)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IFERROR(__xludf.DUMMYFUNCTION("IMPORTRANGE(""https://docs.google.com/spreadsheets/d/11923uPwbBZFjjGgGUA6NLw09EwE0CqkOc4q9oUmW1yo/edit?usp=sharing"",""แพร่!I408"")"),0)</f>
        <v>0</v>
      </c>
      <c r="J513" s="197">
        <f ca="1">IFERROR(__xludf.DUMMYFUNCTION("IMPORTRANGE(""https://docs.google.com/spreadsheets/d/11923uPwbBZFjjGgGUA6NLw09EwE0CqkOc4q9oUmW1yo/edit?usp=sharing"",""แพร่!J408"")"),0)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IFERROR(__xludf.DUMMYFUNCTION("IMPORTRANGE(""https://docs.google.com/spreadsheets/d/11923uPwbBZFjjGgGUA6NLw09EwE0CqkOc4q9oUmW1yo/edit?usp=sharing"",""แพร่!I409"")"),0)</f>
        <v>0</v>
      </c>
      <c r="J514" s="197">
        <f ca="1">IFERROR(__xludf.DUMMYFUNCTION("IMPORTRANGE(""https://docs.google.com/spreadsheets/d/11923uPwbBZFjjGgGUA6NLw09EwE0CqkOc4q9oUmW1yo/edit?usp=sharing"",""แพร่!J409"")"),0)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IFERROR(__xludf.DUMMYFUNCTION("IMPORTRANGE(""https://docs.google.com/spreadsheets/d/11923uPwbBZFjjGgGUA6NLw09EwE0CqkOc4q9oUmW1yo/edit?usp=sharing"",""แพร่!I410"")"),0)</f>
        <v>0</v>
      </c>
      <c r="J515" s="197">
        <f ca="1">IFERROR(__xludf.DUMMYFUNCTION("IMPORTRANGE(""https://docs.google.com/spreadsheets/d/11923uPwbBZFjjGgGUA6NLw09EwE0CqkOc4q9oUmW1yo/edit?usp=sharing"",""แพร่!J410"")"),0)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IFERROR(__xludf.DUMMYFUNCTION("IMPORTRANGE(""https://docs.google.com/spreadsheets/d/11923uPwbBZFjjGgGUA6NLw09EwE0CqkOc4q9oUmW1yo/edit?usp=sharing"",""แพร่!I411"")"),0)</f>
        <v>0</v>
      </c>
      <c r="J516" s="267">
        <f ca="1">IFERROR(__xludf.DUMMYFUNCTION("IMPORTRANGE(""https://docs.google.com/spreadsheets/d/11923uPwbBZFjjGgGUA6NLw09EwE0CqkOc4q9oUmW1yo/edit?usp=sharing"",""แพร่!J411"")"),0)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IFERROR(__xludf.DUMMYFUNCTION("IMPORTRANGE(""https://docs.google.com/spreadsheets/d/11923uPwbBZFjjGgGUA6NLw09EwE0CqkOc4q9oUmW1yo/edit?usp=sharing"",""แพร่!I412"")"),0)</f>
        <v>0</v>
      </c>
      <c r="J517" s="284">
        <f ca="1">IFERROR(__xludf.DUMMYFUNCTION("IMPORTRANGE(""https://docs.google.com/spreadsheets/d/11923uPwbBZFjjGgGUA6NLw09EwE0CqkOc4q9oUmW1yo/edit?usp=sharing"",""แพร่!J412"")"),0)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IFERROR(__xludf.DUMMYFUNCTION("IMPORTRANGE(""https://docs.google.com/spreadsheets/d/11923uPwbBZFjjGgGUA6NLw09EwE0CqkOc4q9oUmW1yo/edit?usp=sharing"",""แพร่!I413"")"),0)</f>
        <v>0</v>
      </c>
      <c r="J518" s="284">
        <f ca="1">IFERROR(__xludf.DUMMYFUNCTION("IMPORTRANGE(""https://docs.google.com/spreadsheets/d/11923uPwbBZFjjGgGUA6NLw09EwE0CqkOc4q9oUmW1yo/edit?usp=sharing"",""แพร่!J413"")"),0)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IFERROR(__xludf.DUMMYFUNCTION("IMPORTRANGE(""https://docs.google.com/spreadsheets/d/11923uPwbBZFjjGgGUA6NLw09EwE0CqkOc4q9oUmW1yo/edit?usp=sharing"",""แพร่!I414"")"),0)</f>
        <v>0</v>
      </c>
      <c r="J519" s="187">
        <f ca="1">IFERROR(__xludf.DUMMYFUNCTION("IMPORTRANGE(""https://docs.google.com/spreadsheets/d/11923uPwbBZFjjGgGUA6NLw09EwE0CqkOc4q9oUmW1yo/edit?usp=sharing"",""แพร่!J414"")"),0)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IFERROR(__xludf.DUMMYFUNCTION("IMPORTRANGE(""https://docs.google.com/spreadsheets/d/11923uPwbBZFjjGgGUA6NLw09EwE0CqkOc4q9oUmW1yo/edit?usp=sharing"",""แพร่!I415"")"),0)</f>
        <v>0</v>
      </c>
      <c r="J520" s="187">
        <f ca="1">IFERROR(__xludf.DUMMYFUNCTION("IMPORTRANGE(""https://docs.google.com/spreadsheets/d/11923uPwbBZFjjGgGUA6NLw09EwE0CqkOc4q9oUmW1yo/edit?usp=sharing"",""แพร่!J415"")"),0)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IFERROR(__xludf.DUMMYFUNCTION("IMPORTRANGE(""https://docs.google.com/spreadsheets/d/11923uPwbBZFjjGgGUA6NLw09EwE0CqkOc4q9oUmW1yo/edit?usp=sharing"",""แพร่!I416"")"),0)</f>
        <v>0</v>
      </c>
      <c r="J521" s="187">
        <f ca="1">IFERROR(__xludf.DUMMYFUNCTION("IMPORTRANGE(""https://docs.google.com/spreadsheets/d/11923uPwbBZFjjGgGUA6NLw09EwE0CqkOc4q9oUmW1yo/edit?usp=sharing"",""แพร่!J416"")"),0)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IFERROR(__xludf.DUMMYFUNCTION("IMPORTRANGE(""https://docs.google.com/spreadsheets/d/11923uPwbBZFjjGgGUA6NLw09EwE0CqkOc4q9oUmW1yo/edit?usp=sharing"",""แพร่!I417"")"),0)</f>
        <v>0</v>
      </c>
      <c r="J522" s="187">
        <f ca="1">IFERROR(__xludf.DUMMYFUNCTION("IMPORTRANGE(""https://docs.google.com/spreadsheets/d/11923uPwbBZFjjGgGUA6NLw09EwE0CqkOc4q9oUmW1yo/edit?usp=sharing"",""แพร่!J417"")"),0)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IFERROR(__xludf.DUMMYFUNCTION("IMPORTRANGE(""https://docs.google.com/spreadsheets/d/11923uPwbBZFjjGgGUA6NLw09EwE0CqkOc4q9oUmW1yo/edit?usp=sharing"",""แพร่!I418"")"),0)</f>
        <v>0</v>
      </c>
      <c r="J523" s="187">
        <f ca="1">IFERROR(__xludf.DUMMYFUNCTION("IMPORTRANGE(""https://docs.google.com/spreadsheets/d/11923uPwbBZFjjGgGUA6NLw09EwE0CqkOc4q9oUmW1yo/edit?usp=sharing"",""แพร่!J418"")"),14)</f>
        <v>14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IFERROR(__xludf.DUMMYFUNCTION("IMPORTRANGE(""https://docs.google.com/spreadsheets/d/11923uPwbBZFjjGgGUA6NLw09EwE0CqkOc4q9oUmW1yo/edit?usp=sharing"",""แพร่!I419"")"),0)</f>
        <v>0</v>
      </c>
      <c r="J524" s="187">
        <f ca="1">IFERROR(__xludf.DUMMYFUNCTION("IMPORTRANGE(""https://docs.google.com/spreadsheets/d/11923uPwbBZFjjGgGUA6NLw09EwE0CqkOc4q9oUmW1yo/edit?usp=sharing"",""แพร่!J419"")"),5)</f>
        <v>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IFERROR(__xludf.DUMMYFUNCTION("IMPORTRANGE(""https://docs.google.com/spreadsheets/d/11923uPwbBZFjjGgGUA6NLw09EwE0CqkOc4q9oUmW1yo/edit?usp=sharing"",""แพร่!I420"")"),14)</f>
        <v>14</v>
      </c>
      <c r="J525" s="284">
        <f ca="1">IFERROR(__xludf.DUMMYFUNCTION("IMPORTRANGE(""https://docs.google.com/spreadsheets/d/11923uPwbBZFjjGgGUA6NLw09EwE0CqkOc4q9oUmW1yo/edit?usp=sharing"",""แพร่!J420"")"),0)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IFERROR(__xludf.DUMMYFUNCTION("IMPORTRANGE(""https://docs.google.com/spreadsheets/d/11923uPwbBZFjjGgGUA6NLw09EwE0CqkOc4q9oUmW1yo/edit?usp=sharing"",""แพร่!I421"")"),5)</f>
        <v>5</v>
      </c>
      <c r="J526" s="284">
        <f ca="1">IFERROR(__xludf.DUMMYFUNCTION("IMPORTRANGE(""https://docs.google.com/spreadsheets/d/11923uPwbBZFjjGgGUA6NLw09EwE0CqkOc4q9oUmW1yo/edit?usp=sharing"",""แพร่!J421"")"),0)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IFERROR(__xludf.DUMMYFUNCTION("IMPORTRANGE(""https://docs.google.com/spreadsheets/d/11923uPwbBZFjjGgGUA6NLw09EwE0CqkOc4q9oUmW1yo/edit?usp=sharing"",""แพร่!I422"")"),0)</f>
        <v>0</v>
      </c>
      <c r="J527" s="197">
        <f ca="1">IFERROR(__xludf.DUMMYFUNCTION("IMPORTRANGE(""https://docs.google.com/spreadsheets/d/11923uPwbBZFjjGgGUA6NLw09EwE0CqkOc4q9oUmW1yo/edit?usp=sharing"",""แพร่!J422"")"),0)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IFERROR(__xludf.DUMMYFUNCTION("IMPORTRANGE(""https://docs.google.com/spreadsheets/d/11923uPwbBZFjjGgGUA6NLw09EwE0CqkOc4q9oUmW1yo/edit?usp=sharing"",""แพร่!I423"")"),0)</f>
        <v>0</v>
      </c>
      <c r="J528" s="197">
        <f ca="1">IFERROR(__xludf.DUMMYFUNCTION("IMPORTRANGE(""https://docs.google.com/spreadsheets/d/11923uPwbBZFjjGgGUA6NLw09EwE0CqkOc4q9oUmW1yo/edit?usp=sharing"",""แพร่!J423"")"),0)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IFERROR(__xludf.DUMMYFUNCTION("IMPORTRANGE(""https://docs.google.com/spreadsheets/d/11923uPwbBZFjjGgGUA6NLw09EwE0CqkOc4q9oUmW1yo/edit?usp=sharing"",""แพร่!I424"")"),0)</f>
        <v>0</v>
      </c>
      <c r="J529" s="197">
        <f ca="1">IFERROR(__xludf.DUMMYFUNCTION("IMPORTRANGE(""https://docs.google.com/spreadsheets/d/11923uPwbBZFjjGgGUA6NLw09EwE0CqkOc4q9oUmW1yo/edit?usp=sharing"",""แพร่!J424"")"),0)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IFERROR(__xludf.DUMMYFUNCTION("IMPORTRANGE(""https://docs.google.com/spreadsheets/d/11923uPwbBZFjjGgGUA6NLw09EwE0CqkOc4q9oUmW1yo/edit?usp=sharing"",""แพร่!I425"")"),0)</f>
        <v>0</v>
      </c>
      <c r="J530" s="197">
        <f ca="1">IFERROR(__xludf.DUMMYFUNCTION("IMPORTRANGE(""https://docs.google.com/spreadsheets/d/11923uPwbBZFjjGgGUA6NLw09EwE0CqkOc4q9oUmW1yo/edit?usp=sharing"",""แพร่!J425"")"),0)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IFERROR(__xludf.DUMMYFUNCTION("IMPORTRANGE(""https://docs.google.com/spreadsheets/d/11923uPwbBZFjjGgGUA6NLw09EwE0CqkOc4q9oUmW1yo/edit?usp=sharing"",""แพร่!I426"")"),0)</f>
        <v>0</v>
      </c>
      <c r="J531" s="197">
        <f ca="1">IFERROR(__xludf.DUMMYFUNCTION("IMPORTRANGE(""https://docs.google.com/spreadsheets/d/11923uPwbBZFjjGgGUA6NLw09EwE0CqkOc4q9oUmW1yo/edit?usp=sharing"",""แพร่!J426"")"),0)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IFERROR(__xludf.DUMMYFUNCTION("IMPORTRANGE(""https://docs.google.com/spreadsheets/d/11923uPwbBZFjjGgGUA6NLw09EwE0CqkOc4q9oUmW1yo/edit?usp=sharing"",""แพร่!I427"")"),0)</f>
        <v>0</v>
      </c>
      <c r="J532" s="466">
        <f ca="1">IFERROR(__xludf.DUMMYFUNCTION("IMPORTRANGE(""https://docs.google.com/spreadsheets/d/11923uPwbBZFjjGgGUA6NLw09EwE0CqkOc4q9oUmW1yo/edit?usp=sharing"",""แพร่!J427"")"),0)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IFERROR(__xludf.DUMMYFUNCTION("IMPORTRANGE(""https://docs.google.com/spreadsheets/d/11923uPwbBZFjjGgGUA6NLw09EwE0CqkOc4q9oUmW1yo/edit?usp=sharing"",""แพร่!I428"")"),22)</f>
        <v>22</v>
      </c>
      <c r="J533" s="409">
        <f ca="1">IFERROR(__xludf.DUMMYFUNCTION("IMPORTRANGE(""https://docs.google.com/spreadsheets/d/11923uPwbBZFjjGgGUA6NLw09EwE0CqkOc4q9oUmW1yo/edit?usp=sharing"",""แพร่!J428"")"),22)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IFERROR(__xludf.DUMMYFUNCTION("IMPORTRANGE(""https://docs.google.com/spreadsheets/d/11923uPwbBZFjjGgGUA6NLw09EwE0CqkOc4q9oUmW1yo/edit?usp=sharing"",""แพร่!L428"")"),34340)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IFERROR(__xludf.DUMMYFUNCTION("IMPORTRANGE(""https://docs.google.com/spreadsheets/d/11923uPwbBZFjjGgGUA6NLw09EwE0CqkOc4q9oUmW1yo/edit?usp=sharing"",""แพร่!M428"")"),21672)</f>
        <v>21672</v>
      </c>
      <c r="O533" s="411">
        <f t="shared" ref="O533:O537" ca="1" si="118">+IF(L533&gt;0,N533*100/L533,0)</f>
        <v>63.110075713453696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IFERROR(__xludf.DUMMYFUNCTION("IMPORTRANGE(""https://docs.google.com/spreadsheets/d/11923uPwbBZFjjGgGUA6NLw09EwE0CqkOc4q9oUmW1yo/edit?usp=sharing"",""แพร่!L429"")"),0)</f>
        <v>0</v>
      </c>
      <c r="M534" s="164"/>
      <c r="N534" s="168">
        <f ca="1">IFERROR(__xludf.DUMMYFUNCTION("IMPORTRANGE(""https://docs.google.com/spreadsheets/d/11923uPwbBZFjjGgGUA6NLw09EwE0CqkOc4q9oUmW1yo/edit?usp=sharing"",""แพร่!M429"")"),0)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IFERROR(__xludf.DUMMYFUNCTION("IMPORTRANGE(""https://docs.google.com/spreadsheets/d/11923uPwbBZFjjGgGUA6NLw09EwE0CqkOc4q9oUmW1yo/edit?usp=sharing"",""แพร่!L430"")"),34340)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IFERROR(__xludf.DUMMYFUNCTION("IMPORTRANGE(""https://docs.google.com/spreadsheets/d/11923uPwbBZFjjGgGUA6NLw09EwE0CqkOc4q9oUmW1yo/edit?usp=sharing"",""แพร่!M430"")"),21672)</f>
        <v>21672</v>
      </c>
      <c r="O535" s="168">
        <f t="shared" ca="1" si="118"/>
        <v>63.110075713453696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IFERROR(__xludf.DUMMYFUNCTION("IMPORTRANGE(""https://docs.google.com/spreadsheets/d/11923uPwbBZFjjGgGUA6NLw09EwE0CqkOc4q9oUmW1yo/edit?usp=sharing"",""แพร่!L431"")"),0)</f>
        <v>0</v>
      </c>
      <c r="M536" s="168"/>
      <c r="N536" s="168">
        <f ca="1">IFERROR(__xludf.DUMMYFUNCTION("IMPORTRANGE(""https://docs.google.com/spreadsheets/d/11923uPwbBZFjjGgGUA6NLw09EwE0CqkOc4q9oUmW1yo/edit?usp=sharing"",""แพร่!M431"")"),0)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IFERROR(__xludf.DUMMYFUNCTION("IMPORTRANGE(""https://docs.google.com/spreadsheets/d/11923uPwbBZFjjGgGUA6NLw09EwE0CqkOc4q9oUmW1yo/edit?usp=sharing"",""แพร่!L432"")"),34340)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IFERROR(__xludf.DUMMYFUNCTION("IMPORTRANGE(""https://docs.google.com/spreadsheets/d/11923uPwbBZFjjGgGUA6NLw09EwE0CqkOc4q9oUmW1yo/edit?usp=sharing"",""แพร่!M432"")"),21672)</f>
        <v>21672</v>
      </c>
      <c r="O537" s="168">
        <f t="shared" ca="1" si="118"/>
        <v>63.110075713453696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IFERROR(__xludf.DUMMYFUNCTION("IMPORTRANGE(""https://docs.google.com/spreadsheets/d/11923uPwbBZFjjGgGUA6NLw09EwE0CqkOc4q9oUmW1yo/edit?usp=sharing"",""แพร่!M433"")"),17860)</f>
        <v>17860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IFERROR(__xludf.DUMMYFUNCTION("IMPORTRANGE(""https://docs.google.com/spreadsheets/d/11923uPwbBZFjjGgGUA6NLw09EwE0CqkOc4q9oUmW1yo/edit?usp=sharing"",""แพร่!M434"")"),0)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IFERROR(__xludf.DUMMYFUNCTION("IMPORTRANGE(""https://docs.google.com/spreadsheets/d/11923uPwbBZFjjGgGUA6NLw09EwE0CqkOc4q9oUmW1yo/edit?usp=sharing"",""แพร่!M435"")"),0)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IFERROR(__xludf.DUMMYFUNCTION("IMPORTRANGE(""https://docs.google.com/spreadsheets/d/11923uPwbBZFjjGgGUA6NLw09EwE0CqkOc4q9oUmW1yo/edit?usp=sharing"",""แพร่!M436"")"),3812)</f>
        <v>3812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IFERROR(__xludf.DUMMYFUNCTION("IMPORTRANGE(""https://docs.google.com/spreadsheets/d/11923uPwbBZFjjGgGUA6NLw09EwE0CqkOc4q9oUmW1yo/edit?usp=sharing"",""แพร่!J438"")"),0)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IFERROR(__xludf.DUMMYFUNCTION("IMPORTRANGE(""https://docs.google.com/spreadsheets/d/11923uPwbBZFjjGgGUA6NLw09EwE0CqkOc4q9oUmW1yo/edit?usp=sharing"",""แพร่!J439"")"),1)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IFERROR(__xludf.DUMMYFUNCTION("IMPORTRANGE(""https://docs.google.com/spreadsheets/d/11923uPwbBZFjjGgGUA6NLw09EwE0CqkOc4q9oUmW1yo/edit?usp=sharing"",""แพร่!J440"")"),1)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IFERROR(__xludf.DUMMYFUNCTION("IMPORTRANGE(""https://docs.google.com/spreadsheets/d/11923uPwbBZFjjGgGUA6NLw09EwE0CqkOc4q9oUmW1yo/edit?usp=sharing"",""แพร่!J441"")"),1)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IFERROR(__xludf.DUMMYFUNCTION("IMPORTRANGE(""https://docs.google.com/spreadsheets/d/11923uPwbBZFjjGgGUA6NLw09EwE0CqkOc4q9oUmW1yo/edit?usp=sharing"",""แพร่!I442"")"),22)</f>
        <v>22</v>
      </c>
      <c r="J547" s="188">
        <f ca="1">IFERROR(__xludf.DUMMYFUNCTION("IMPORTRANGE(""https://docs.google.com/spreadsheets/d/11923uPwbBZFjjGgGUA6NLw09EwE0CqkOc4q9oUmW1yo/edit?usp=sharing"",""แพร่!J442"")"),22)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IFERROR(__xludf.DUMMYFUNCTION("IMPORTRANGE(""https://docs.google.com/spreadsheets/d/11923uPwbBZFjjGgGUA6NLw09EwE0CqkOc4q9oUmW1yo/edit?usp=sharing"",""แพร่!J166"")"),0)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IFERROR(__xludf.DUMMYFUNCTION("IMPORTRANGE(""https://docs.google.com/spreadsheets/d/11923uPwbBZFjjGgGUA6NLw09EwE0CqkOc4q9oUmW1yo/edit?usp=sharing"",""แพร่!J444"")"),0)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IFERROR(__xludf.DUMMYFUNCTION("IMPORTRANGE(""https://docs.google.com/spreadsheets/d/11923uPwbBZFjjGgGUA6NLw09EwE0CqkOc4q9oUmW1yo/edit?usp=sharing"",""แพร่!J445"")"),0)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IFERROR(__xludf.DUMMYFUNCTION("IMPORTRANGE(""https://docs.google.com/spreadsheets/d/11923uPwbBZFjjGgGUA6NLw09EwE0CqkOc4q9oUmW1yo/edit?usp=sharing"",""แพร่!I446"")"),0)</f>
        <v>0</v>
      </c>
      <c r="J551" s="409">
        <f ca="1">IFERROR(__xludf.DUMMYFUNCTION("IMPORTRANGE(""https://docs.google.com/spreadsheets/d/11923uPwbBZFjjGgGUA6NLw09EwE0CqkOc4q9oUmW1yo/edit?usp=sharing"",""แพร่!J446"")"),0)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IFERROR(__xludf.DUMMYFUNCTION("IMPORTRANGE(""https://docs.google.com/spreadsheets/d/11923uPwbBZFjjGgGUA6NLw09EwE0CqkOc4q9oUmW1yo/edit?usp=sharing"",""แพร่!L446"")"),0)</f>
        <v>0</v>
      </c>
      <c r="M551" s="411"/>
      <c r="N551" s="411">
        <f ca="1">IFERROR(__xludf.DUMMYFUNCTION("IMPORTRANGE(""https://docs.google.com/spreadsheets/d/11923uPwbBZFjjGgGUA6NLw09EwE0CqkOc4q9oUmW1yo/edit?usp=sharing"",""แพร่!M446"")"),0)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IFERROR(__xludf.DUMMYFUNCTION("IMPORTRANGE(""https://docs.google.com/spreadsheets/d/11923uPwbBZFjjGgGUA6NLw09EwE0CqkOc4q9oUmW1yo/edit?usp=sharing"",""แพร่!L447"")"),0)</f>
        <v>0</v>
      </c>
      <c r="M552" s="164"/>
      <c r="N552" s="168">
        <f ca="1">IFERROR(__xludf.DUMMYFUNCTION("IMPORTRANGE(""https://docs.google.com/spreadsheets/d/11923uPwbBZFjjGgGUA6NLw09EwE0CqkOc4q9oUmW1yo/edit?usp=sharing"",""แพร่!M447"")"),0)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IFERROR(__xludf.DUMMYFUNCTION("IMPORTRANGE(""https://docs.google.com/spreadsheets/d/11923uPwbBZFjjGgGUA6NLw09EwE0CqkOc4q9oUmW1yo/edit?usp=sharing"",""แพร่!L448"")"),0)</f>
        <v>0</v>
      </c>
      <c r="M553" s="165"/>
      <c r="N553" s="168">
        <f ca="1">IFERROR(__xludf.DUMMYFUNCTION("IMPORTRANGE(""https://docs.google.com/spreadsheets/d/11923uPwbBZFjjGgGUA6NLw09EwE0CqkOc4q9oUmW1yo/edit?usp=sharing"",""แพร่!M448"")"),0)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IFERROR(__xludf.DUMMYFUNCTION("IMPORTRANGE(""https://docs.google.com/spreadsheets/d/11923uPwbBZFjjGgGUA6NLw09EwE0CqkOc4q9oUmW1yo/edit?usp=sharing"",""แพร่!L449"")"),0)</f>
        <v>0</v>
      </c>
      <c r="M554" s="168"/>
      <c r="N554" s="168">
        <f ca="1">IFERROR(__xludf.DUMMYFUNCTION("IMPORTRANGE(""https://docs.google.com/spreadsheets/d/11923uPwbBZFjjGgGUA6NLw09EwE0CqkOc4q9oUmW1yo/edit?usp=sharing"",""แพร่!M449"")"),0)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IFERROR(__xludf.DUMMYFUNCTION("IMPORTRANGE(""https://docs.google.com/spreadsheets/d/11923uPwbBZFjjGgGUA6NLw09EwE0CqkOc4q9oUmW1yo/edit?usp=sharing"",""แพร่!L450"")"),0)</f>
        <v>0</v>
      </c>
      <c r="M555" s="168"/>
      <c r="N555" s="168">
        <f ca="1">IFERROR(__xludf.DUMMYFUNCTION("IMPORTRANGE(""https://docs.google.com/spreadsheets/d/11923uPwbBZFjjGgGUA6NLw09EwE0CqkOc4q9oUmW1yo/edit?usp=sharing"",""แพร่!M450"")"),0)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IFERROR(__xludf.DUMMYFUNCTION("IMPORTRANGE(""https://docs.google.com/spreadsheets/d/11923uPwbBZFjjGgGUA6NLw09EwE0CqkOc4q9oUmW1yo/edit?usp=sharing"",""แพร่!M451"")"),0)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IFERROR(__xludf.DUMMYFUNCTION("IMPORTRANGE(""https://docs.google.com/spreadsheets/d/11923uPwbBZFjjGgGUA6NLw09EwE0CqkOc4q9oUmW1yo/edit?usp=sharing"",""แพร่!M452"")"),0)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IFERROR(__xludf.DUMMYFUNCTION("IMPORTRANGE(""https://docs.google.com/spreadsheets/d/11923uPwbBZFjjGgGUA6NLw09EwE0CqkOc4q9oUmW1yo/edit?usp=sharing"",""แพร่!M453"")"),0)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IFERROR(__xludf.DUMMYFUNCTION("IMPORTRANGE(""https://docs.google.com/spreadsheets/d/11923uPwbBZFjjGgGUA6NLw09EwE0CqkOc4q9oUmW1yo/edit?usp=sharing"",""แพร่!M454"")"),0)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IFERROR(__xludf.DUMMYFUNCTION("IMPORTRANGE(""https://docs.google.com/spreadsheets/d/11923uPwbBZFjjGgGUA6NLw09EwE0CqkOc4q9oUmW1yo/edit?usp=sharing"",""แพร่!I455"")"),0)</f>
        <v>0</v>
      </c>
      <c r="J560" s="162">
        <f ca="1">IFERROR(__xludf.DUMMYFUNCTION("IMPORTRANGE(""https://docs.google.com/spreadsheets/d/11923uPwbBZFjjGgGUA6NLw09EwE0CqkOc4q9oUmW1yo/edit?usp=sharing"",""แพร่!J455"")"),0)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IFERROR(__xludf.DUMMYFUNCTION("IMPORTRANGE(""https://docs.google.com/spreadsheets/d/11923uPwbBZFjjGgGUA6NLw09EwE0CqkOc4q9oUmW1yo/edit?usp=sharing"",""แพร่!I456"")"),0)</f>
        <v>0</v>
      </c>
      <c r="J561" s="203">
        <f ca="1">IFERROR(__xludf.DUMMYFUNCTION("IMPORTRANGE(""https://docs.google.com/spreadsheets/d/11923uPwbBZFjjGgGUA6NLw09EwE0CqkOc4q9oUmW1yo/edit?usp=sharing"",""แพร่!J456"")"),0)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IFERROR(__xludf.DUMMYFUNCTION("IMPORTRANGE(""https://docs.google.com/spreadsheets/d/11923uPwbBZFjjGgGUA6NLw09EwE0CqkOc4q9oUmW1yo/edit?usp=sharing"",""แพร่!I459"")"),1200)</f>
        <v>1200</v>
      </c>
      <c r="J564" s="370">
        <f ca="1">IFERROR(__xludf.DUMMYFUNCTION("IMPORTRANGE(""https://docs.google.com/spreadsheets/d/11923uPwbBZFjjGgGUA6NLw09EwE0CqkOc4q9oUmW1yo/edit?usp=sharing"",""แพร่!J459"")"),2682)</f>
        <v>2682</v>
      </c>
      <c r="K564" s="371">
        <f ca="1">IF(I564&gt;0,J564*100/I564,0)</f>
        <v>223.5</v>
      </c>
      <c r="L564" s="372">
        <f ca="1">IFERROR(__xludf.DUMMYFUNCTION("IMPORTRANGE(""https://docs.google.com/spreadsheets/d/11923uPwbBZFjjGgGUA6NLw09EwE0CqkOc4q9oUmW1yo/edit?usp=sharing"",""แพร่!L459"")"),126480)</f>
        <v>126480</v>
      </c>
      <c r="M564" s="372"/>
      <c r="N564" s="372">
        <f ca="1">IFERROR(__xludf.DUMMYFUNCTION("IMPORTRANGE(""https://docs.google.com/spreadsheets/d/11923uPwbBZFjjGgGUA6NLw09EwE0CqkOc4q9oUmW1yo/edit?usp=sharing"",""แพร่!M459"")"),70833)</f>
        <v>70833</v>
      </c>
      <c r="O564" s="372">
        <f t="shared" ref="O564:O568" ca="1" si="122">+IF(L564&gt;0,N564*100/L564,0)</f>
        <v>56.003320683111951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IFERROR(__xludf.DUMMYFUNCTION("IMPORTRANGE(""https://docs.google.com/spreadsheets/d/11923uPwbBZFjjGgGUA6NLw09EwE0CqkOc4q9oUmW1yo/edit?usp=sharing"",""แพร่!L460"")"),0)</f>
        <v>0</v>
      </c>
      <c r="M565" s="164"/>
      <c r="N565" s="168">
        <f ca="1">IFERROR(__xludf.DUMMYFUNCTION("IMPORTRANGE(""https://docs.google.com/spreadsheets/d/11923uPwbBZFjjGgGUA6NLw09EwE0CqkOc4q9oUmW1yo/edit?usp=sharing"",""แพร่!M460"")"),0)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IFERROR(__xludf.DUMMYFUNCTION("IMPORTRANGE(""https://docs.google.com/spreadsheets/d/11923uPwbBZFjjGgGUA6NLw09EwE0CqkOc4q9oUmW1yo/edit?usp=sharing"",""แพร่!L461"")"),126480)</f>
        <v>126480</v>
      </c>
      <c r="M566" s="165"/>
      <c r="N566" s="168">
        <f ca="1">IFERROR(__xludf.DUMMYFUNCTION("IMPORTRANGE(""https://docs.google.com/spreadsheets/d/11923uPwbBZFjjGgGUA6NLw09EwE0CqkOc4q9oUmW1yo/edit?usp=sharing"",""แพร่!M461"")"),70833)</f>
        <v>70833</v>
      </c>
      <c r="O566" s="168">
        <f t="shared" ca="1" si="122"/>
        <v>56.003320683111951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IFERROR(__xludf.DUMMYFUNCTION("IMPORTRANGE(""https://docs.google.com/spreadsheets/d/11923uPwbBZFjjGgGUA6NLw09EwE0CqkOc4q9oUmW1yo/edit?usp=sharing"",""แพร่!L462"")"),0)</f>
        <v>0</v>
      </c>
      <c r="M567" s="168"/>
      <c r="N567" s="168">
        <f ca="1">IFERROR(__xludf.DUMMYFUNCTION("IMPORTRANGE(""https://docs.google.com/spreadsheets/d/11923uPwbBZFjjGgGUA6NLw09EwE0CqkOc4q9oUmW1yo/edit?usp=sharing"",""แพร่!M462"")"),0)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IFERROR(__xludf.DUMMYFUNCTION("IMPORTRANGE(""https://docs.google.com/spreadsheets/d/11923uPwbBZFjjGgGUA6NLw09EwE0CqkOc4q9oUmW1yo/edit?usp=sharing"",""แพร่!L463"")"),126480)</f>
        <v>126480</v>
      </c>
      <c r="M568" s="168"/>
      <c r="N568" s="168">
        <f ca="1">IFERROR(__xludf.DUMMYFUNCTION("IMPORTRANGE(""https://docs.google.com/spreadsheets/d/11923uPwbBZFjjGgGUA6NLw09EwE0CqkOc4q9oUmW1yo/edit?usp=sharing"",""แพร่!M463"")"),70833)</f>
        <v>70833</v>
      </c>
      <c r="O568" s="168">
        <f t="shared" ca="1" si="122"/>
        <v>56.003320683111951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IFERROR(__xludf.DUMMYFUNCTION("IMPORTRANGE(""https://docs.google.com/spreadsheets/d/11923uPwbBZFjjGgGUA6NLw09EwE0CqkOc4q9oUmW1yo/edit?usp=sharing"",""แพร่!M464"")"),0)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IFERROR(__xludf.DUMMYFUNCTION("IMPORTRANGE(""https://docs.google.com/spreadsheets/d/11923uPwbBZFjjGgGUA6NLw09EwE0CqkOc4q9oUmW1yo/edit?usp=sharing"",""แพร่!M465"")"),0)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IFERROR(__xludf.DUMMYFUNCTION("IMPORTRANGE(""https://docs.google.com/spreadsheets/d/11923uPwbBZFjjGgGUA6NLw09EwE0CqkOc4q9oUmW1yo/edit?usp=sharing"",""แพร่!M466"")"),53899)</f>
        <v>53899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IFERROR(__xludf.DUMMYFUNCTION("IMPORTRANGE(""https://docs.google.com/spreadsheets/d/11923uPwbBZFjjGgGUA6NLw09EwE0CqkOc4q9oUmW1yo/edit?usp=sharing"",""แพร่!M467"")"),16934)</f>
        <v>16934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IFERROR(__xludf.DUMMYFUNCTION("IMPORTRANGE(""https://docs.google.com/spreadsheets/d/11923uPwbBZFjjGgGUA6NLw09EwE0CqkOc4q9oUmW1yo/edit?usp=sharing"",""แพร่!I468"")"),1200)</f>
        <v>1200</v>
      </c>
      <c r="J573" s="420">
        <f ca="1">IFERROR(__xludf.DUMMYFUNCTION("IMPORTRANGE(""https://docs.google.com/spreadsheets/d/11923uPwbBZFjjGgGUA6NLw09EwE0CqkOc4q9oUmW1yo/edit?usp=sharing"",""แพร่!J468"")"),2682)</f>
        <v>2682</v>
      </c>
      <c r="K573" s="201">
        <f ca="1">IF(I573&gt;0,J573*100/I573,0)</f>
        <v>223.5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IFERROR(__xludf.DUMMYFUNCTION("IMPORTRANGE(""https://docs.google.com/spreadsheets/d/11923uPwbBZFjjGgGUA6NLw09EwE0CqkOc4q9oUmW1yo/edit?usp=sharing"",""แพร่!I470"")"),0)</f>
        <v>0</v>
      </c>
      <c r="J575" s="197">
        <f ca="1">IFERROR(__xludf.DUMMYFUNCTION("IMPORTRANGE(""https://docs.google.com/spreadsheets/d/11923uPwbBZFjjGgGUA6NLw09EwE0CqkOc4q9oUmW1yo/edit?usp=sharing"",""แพร่!J470"")"),6)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IFERROR(__xludf.DUMMYFUNCTION("IMPORTRANGE(""https://docs.google.com/spreadsheets/d/11923uPwbBZFjjGgGUA6NLw09EwE0CqkOc4q9oUmW1yo/edit?usp=sharing"",""แพร่!I471"")"),0)</f>
        <v>0</v>
      </c>
      <c r="J576" s="197">
        <f ca="1">IFERROR(__xludf.DUMMYFUNCTION("IMPORTRANGE(""https://docs.google.com/spreadsheets/d/11923uPwbBZFjjGgGUA6NLw09EwE0CqkOc4q9oUmW1yo/edit?usp=sharing"",""แพร่!J471"")"),336)</f>
        <v>336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IFERROR(__xludf.DUMMYFUNCTION("IMPORTRANGE(""https://docs.google.com/spreadsheets/d/11923uPwbBZFjjGgGUA6NLw09EwE0CqkOc4q9oUmW1yo/edit?usp=sharing"",""แพร่!I472"")"),0)</f>
        <v>0</v>
      </c>
      <c r="J577" s="188">
        <f ca="1">IFERROR(__xludf.DUMMYFUNCTION("IMPORTRANGE(""https://docs.google.com/spreadsheets/d/11923uPwbBZFjjGgGUA6NLw09EwE0CqkOc4q9oUmW1yo/edit?usp=sharing"",""แพร่!J472"")"),2342)</f>
        <v>2342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IFERROR(__xludf.DUMMYFUNCTION("IMPORTRANGE(""https://docs.google.com/spreadsheets/d/11923uPwbBZFjjGgGUA6NLw09EwE0CqkOc4q9oUmW1yo/edit?usp=sharing"",""แพร่!I473"")"),0)</f>
        <v>0</v>
      </c>
      <c r="J578" s="197">
        <f ca="1">IFERROR(__xludf.DUMMYFUNCTION("IMPORTRANGE(""https://docs.google.com/spreadsheets/d/11923uPwbBZFjjGgGUA6NLw09EwE0CqkOc4q9oUmW1yo/edit?usp=sharing"",""แพร่!J473"")"),0)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IFERROR(__xludf.DUMMYFUNCTION("IMPORTRANGE(""https://docs.google.com/spreadsheets/d/11923uPwbBZFjjGgGUA6NLw09EwE0CqkOc4q9oUmW1yo/edit?usp=sharing"",""แพร่!I474"")"),0)</f>
        <v>0</v>
      </c>
      <c r="J579" s="197">
        <f ca="1">IFERROR(__xludf.DUMMYFUNCTION("IMPORTRANGE(""https://docs.google.com/spreadsheets/d/11923uPwbBZFjjGgGUA6NLw09EwE0CqkOc4q9oUmW1yo/edit?usp=sharing"",""แพร่!J474"")"),4)</f>
        <v>4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IFERROR(__xludf.DUMMYFUNCTION("IMPORTRANGE(""https://docs.google.com/spreadsheets/d/11923uPwbBZFjjGgGUA6NLw09EwE0CqkOc4q9oUmW1yo/edit?usp=sharing"",""แพร่!I475"")"),0)</f>
        <v>0</v>
      </c>
      <c r="J580" s="370">
        <f ca="1">IFERROR(__xludf.DUMMYFUNCTION("IMPORTRANGE(""https://docs.google.com/spreadsheets/d/11923uPwbBZFjjGgGUA6NLw09EwE0CqkOc4q9oUmW1yo/edit?usp=sharing"",""แพร่!J475"")"),7)</f>
        <v>7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IFERROR(__xludf.DUMMYFUNCTION("IMPORTRANGE(""https://docs.google.com/spreadsheets/d/11923uPwbBZFjjGgGUA6NLw09EwE0CqkOc4q9oUmW1yo/edit?usp=sharing"",""แพร่!L475"")"),0)</f>
        <v>0</v>
      </c>
      <c r="M580" s="372"/>
      <c r="N580" s="372">
        <f ca="1">IFERROR(__xludf.DUMMYFUNCTION("IMPORTRANGE(""https://docs.google.com/spreadsheets/d/11923uPwbBZFjjGgGUA6NLw09EwE0CqkOc4q9oUmW1yo/edit?usp=sharing"",""แพร่!M475"")"),0)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IFERROR(__xludf.DUMMYFUNCTION("IMPORTRANGE(""https://docs.google.com/spreadsheets/d/11923uPwbBZFjjGgGUA6NLw09EwE0CqkOc4q9oUmW1yo/edit?usp=sharing"",""แพร่!L476"")"),0)</f>
        <v>0</v>
      </c>
      <c r="M581" s="164"/>
      <c r="N581" s="168">
        <f ca="1">IFERROR(__xludf.DUMMYFUNCTION("IMPORTRANGE(""https://docs.google.com/spreadsheets/d/11923uPwbBZFjjGgGUA6NLw09EwE0CqkOc4q9oUmW1yo/edit?usp=sharing"",""แพร่!M476"")"),0)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IFERROR(__xludf.DUMMYFUNCTION("IMPORTRANGE(""https://docs.google.com/spreadsheets/d/11923uPwbBZFjjGgGUA6NLw09EwE0CqkOc4q9oUmW1yo/edit?usp=sharing"",""แพร่!L477"")"),0)</f>
        <v>0</v>
      </c>
      <c r="M582" s="165"/>
      <c r="N582" s="168">
        <f ca="1">IFERROR(__xludf.DUMMYFUNCTION("IMPORTRANGE(""https://docs.google.com/spreadsheets/d/11923uPwbBZFjjGgGUA6NLw09EwE0CqkOc4q9oUmW1yo/edit?usp=sharing"",""แพร่!M477"")"),0)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IFERROR(__xludf.DUMMYFUNCTION("IMPORTRANGE(""https://docs.google.com/spreadsheets/d/11923uPwbBZFjjGgGUA6NLw09EwE0CqkOc4q9oUmW1yo/edit?usp=sharing"",""แพร่!L478"")"),0)</f>
        <v>0</v>
      </c>
      <c r="M583" s="168"/>
      <c r="N583" s="168">
        <f ca="1">IFERROR(__xludf.DUMMYFUNCTION("IMPORTRANGE(""https://docs.google.com/spreadsheets/d/11923uPwbBZFjjGgGUA6NLw09EwE0CqkOc4q9oUmW1yo/edit?usp=sharing"",""แพร่!M478"")"),0)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IFERROR(__xludf.DUMMYFUNCTION("IMPORTRANGE(""https://docs.google.com/spreadsheets/d/11923uPwbBZFjjGgGUA6NLw09EwE0CqkOc4q9oUmW1yo/edit?usp=sharing"",""แพร่!L479"")"),0)</f>
        <v>0</v>
      </c>
      <c r="M584" s="168"/>
      <c r="N584" s="168">
        <f ca="1">IFERROR(__xludf.DUMMYFUNCTION("IMPORTRANGE(""https://docs.google.com/spreadsheets/d/11923uPwbBZFjjGgGUA6NLw09EwE0CqkOc4q9oUmW1yo/edit?usp=sharing"",""แพร่!M479"")"),0)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IFERROR(__xludf.DUMMYFUNCTION("IMPORTRANGE(""https://docs.google.com/spreadsheets/d/11923uPwbBZFjjGgGUA6NLw09EwE0CqkOc4q9oUmW1yo/edit?usp=sharing"",""แพร่!M480"")"),0)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IFERROR(__xludf.DUMMYFUNCTION("IMPORTRANGE(""https://docs.google.com/spreadsheets/d/11923uPwbBZFjjGgGUA6NLw09EwE0CqkOc4q9oUmW1yo/edit?usp=sharing"",""แพร่!M481"")"),0)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IFERROR(__xludf.DUMMYFUNCTION("IMPORTRANGE(""https://docs.google.com/spreadsheets/d/11923uPwbBZFjjGgGUA6NLw09EwE0CqkOc4q9oUmW1yo/edit?usp=sharing"",""แพร่!M482"")"),0)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IFERROR(__xludf.DUMMYFUNCTION("IMPORTRANGE(""https://docs.google.com/spreadsheets/d/11923uPwbBZFjjGgGUA6NLw09EwE0CqkOc4q9oUmW1yo/edit?usp=sharing"",""แพร่!M483"")"),0)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IFERROR(__xludf.DUMMYFUNCTION("IMPORTRANGE(""https://docs.google.com/spreadsheets/d/11923uPwbBZFjjGgGUA6NLw09EwE0CqkOc4q9oUmW1yo/edit?usp=sharing"",""แพร่!I484"")"),0)</f>
        <v>0</v>
      </c>
      <c r="J589" s="187">
        <f ca="1">IFERROR(__xludf.DUMMYFUNCTION("IMPORTRANGE(""https://docs.google.com/spreadsheets/d/11923uPwbBZFjjGgGUA6NLw09EwE0CqkOc4q9oUmW1yo/edit?usp=sharing"",""แพร่!J484"")"),2)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IFERROR(__xludf.DUMMYFUNCTION("IMPORTRANGE(""https://docs.google.com/spreadsheets/d/11923uPwbBZFjjGgGUA6NLw09EwE0CqkOc4q9oUmW1yo/edit?usp=sharing"",""แพร่!I485"")"),0)</f>
        <v>0</v>
      </c>
      <c r="J590" s="187">
        <f ca="1">IFERROR(__xludf.DUMMYFUNCTION("IMPORTRANGE(""https://docs.google.com/spreadsheets/d/11923uPwbBZFjjGgGUA6NLw09EwE0CqkOc4q9oUmW1yo/edit?usp=sharing"",""แพร่!J485"")"),1.65)</f>
        <v>1.65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IFERROR(__xludf.DUMMYFUNCTION("IMPORTRANGE(""https://docs.google.com/spreadsheets/d/11923uPwbBZFjjGgGUA6NLw09EwE0CqkOc4q9oUmW1yo/edit?usp=sharing"",""แพร่!I486"")"),0)</f>
        <v>0</v>
      </c>
      <c r="J591" s="187">
        <f ca="1">IFERROR(__xludf.DUMMYFUNCTION("IMPORTRANGE(""https://docs.google.com/spreadsheets/d/11923uPwbBZFjjGgGUA6NLw09EwE0CqkOc4q9oUmW1yo/edit?usp=sharing"",""แพร่!J486"")"),7)</f>
        <v>7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IFERROR(__xludf.DUMMYFUNCTION("IMPORTRANGE(""https://docs.google.com/spreadsheets/d/11923uPwbBZFjjGgGUA6NLw09EwE0CqkOc4q9oUmW1yo/edit?usp=sharing"",""แพร่!I487"")"),0)</f>
        <v>0</v>
      </c>
      <c r="J592" s="187">
        <f ca="1">IFERROR(__xludf.DUMMYFUNCTION("IMPORTRANGE(""https://docs.google.com/spreadsheets/d/11923uPwbBZFjjGgGUA6NLw09EwE0CqkOc4q9oUmW1yo/edit?usp=sharing"",""แพร่!J487"")"),4.16)</f>
        <v>4.16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IFERROR(__xludf.DUMMYFUNCTION("IMPORTRANGE(""https://docs.google.com/spreadsheets/d/11923uPwbBZFjjGgGUA6NLw09EwE0CqkOc4q9oUmW1yo/edit?usp=sharing"",""แพร่!I488"")"),0)</f>
        <v>0</v>
      </c>
      <c r="J593" s="187">
        <f ca="1">IFERROR(__xludf.DUMMYFUNCTION("IMPORTRANGE(""https://docs.google.com/spreadsheets/d/11923uPwbBZFjjGgGUA6NLw09EwE0CqkOc4q9oUmW1yo/edit?usp=sharing"",""แพร่!J488"")"),0)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IFERROR(__xludf.DUMMYFUNCTION("IMPORTRANGE(""https://docs.google.com/spreadsheets/d/11923uPwbBZFjjGgGUA6NLw09EwE0CqkOc4q9oUmW1yo/edit?usp=sharing"",""แพร่!I489"")"),0)</f>
        <v>0</v>
      </c>
      <c r="J594" s="187">
        <f ca="1">IFERROR(__xludf.DUMMYFUNCTION("IMPORTRANGE(""https://docs.google.com/spreadsheets/d/11923uPwbBZFjjGgGUA6NLw09EwE0CqkOc4q9oUmW1yo/edit?usp=sharing"",""แพร่!J489"")"),0)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IFERROR(__xludf.DUMMYFUNCTION("IMPORTRANGE(""https://docs.google.com/spreadsheets/d/11923uPwbBZFjjGgGUA6NLw09EwE0CqkOc4q9oUmW1yo/edit?usp=sharing"",""แพร่!I490"")"),0)</f>
        <v>0</v>
      </c>
      <c r="J595" s="187">
        <f ca="1">IFERROR(__xludf.DUMMYFUNCTION("IMPORTRANGE(""https://docs.google.com/spreadsheets/d/11923uPwbBZFjjGgGUA6NLw09EwE0CqkOc4q9oUmW1yo/edit?usp=sharing"",""แพร่!J490"")"),7)</f>
        <v>7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IFERROR(__xludf.DUMMYFUNCTION("IMPORTRANGE(""https://docs.google.com/spreadsheets/d/11923uPwbBZFjjGgGUA6NLw09EwE0CqkOc4q9oUmW1yo/edit?usp=sharing"",""แพร่!I491"")"),0)</f>
        <v>0</v>
      </c>
      <c r="J596" s="241">
        <f ca="1">IFERROR(__xludf.DUMMYFUNCTION("IMPORTRANGE(""https://docs.google.com/spreadsheets/d/11923uPwbBZFjjGgGUA6NLw09EwE0CqkOc4q9oUmW1yo/edit?usp=sharing"",""แพร่!J491"")"),4.16)</f>
        <v>4.16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IFERROR(__xludf.DUMMYFUNCTION("IMPORTRANGE(""https://docs.google.com/spreadsheets/d/11923uPwbBZFjjGgGUA6NLw09EwE0CqkOc4q9oUmW1yo/edit?usp=sharing"",""แพร่!I492"")"),50)</f>
        <v>50</v>
      </c>
      <c r="J597" s="487">
        <f ca="1">IFERROR(__xludf.DUMMYFUNCTION("IMPORTRANGE(""https://docs.google.com/spreadsheets/d/11923uPwbBZFjjGgGUA6NLw09EwE0CqkOc4q9oUmW1yo/edit?usp=sharing"",""แพร่!J492"")"),0)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IFERROR(__xludf.DUMMYFUNCTION("IMPORTRANGE(""https://docs.google.com/spreadsheets/d/11923uPwbBZFjjGgGUA6NLw09EwE0CqkOc4q9oUmW1yo/edit?usp=sharing"",""แพร่!L492"")"),4550)</f>
        <v>4550</v>
      </c>
      <c r="M597" s="411"/>
      <c r="N597" s="411">
        <f ca="1">IFERROR(__xludf.DUMMYFUNCTION("IMPORTRANGE(""https://docs.google.com/spreadsheets/d/11923uPwbBZFjjGgGUA6NLw09EwE0CqkOc4q9oUmW1yo/edit?usp=sharing"",""แพร่!M492"")"),432)</f>
        <v>432</v>
      </c>
      <c r="O597" s="411">
        <f t="shared" ref="O597:O601" ca="1" si="126">+IF(L597&gt;0,N597*100/L597,0)</f>
        <v>9.4945054945054945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IFERROR(__xludf.DUMMYFUNCTION("IMPORTRANGE(""https://docs.google.com/spreadsheets/d/11923uPwbBZFjjGgGUA6NLw09EwE0CqkOc4q9oUmW1yo/edit?usp=sharing"",""แพร่!L493"")"),0)</f>
        <v>0</v>
      </c>
      <c r="M598" s="164"/>
      <c r="N598" s="168">
        <f ca="1">IFERROR(__xludf.DUMMYFUNCTION("IMPORTRANGE(""https://docs.google.com/spreadsheets/d/11923uPwbBZFjjGgGUA6NLw09EwE0CqkOc4q9oUmW1yo/edit?usp=sharing"",""แพร่!M493"")"),0)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IFERROR(__xludf.DUMMYFUNCTION("IMPORTRANGE(""https://docs.google.com/spreadsheets/d/11923uPwbBZFjjGgGUA6NLw09EwE0CqkOc4q9oUmW1yo/edit?usp=sharing"",""แพร่!L494"")"),4550)</f>
        <v>4550</v>
      </c>
      <c r="M599" s="165"/>
      <c r="N599" s="168">
        <f ca="1">IFERROR(__xludf.DUMMYFUNCTION("IMPORTRANGE(""https://docs.google.com/spreadsheets/d/11923uPwbBZFjjGgGUA6NLw09EwE0CqkOc4q9oUmW1yo/edit?usp=sharing"",""แพร่!M494"")"),432)</f>
        <v>432</v>
      </c>
      <c r="O599" s="168">
        <f t="shared" ca="1" si="126"/>
        <v>9.4945054945054945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IFERROR(__xludf.DUMMYFUNCTION("IMPORTRANGE(""https://docs.google.com/spreadsheets/d/11923uPwbBZFjjGgGUA6NLw09EwE0CqkOc4q9oUmW1yo/edit?usp=sharing"",""แพร่!L495"")"),0)</f>
        <v>0</v>
      </c>
      <c r="M600" s="168"/>
      <c r="N600" s="168">
        <f ca="1">IFERROR(__xludf.DUMMYFUNCTION("IMPORTRANGE(""https://docs.google.com/spreadsheets/d/11923uPwbBZFjjGgGUA6NLw09EwE0CqkOc4q9oUmW1yo/edit?usp=sharing"",""แพร่!M495"")"),0)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IFERROR(__xludf.DUMMYFUNCTION("IMPORTRANGE(""https://docs.google.com/spreadsheets/d/11923uPwbBZFjjGgGUA6NLw09EwE0CqkOc4q9oUmW1yo/edit?usp=sharing"",""แพร่!L496"")"),4550)</f>
        <v>4550</v>
      </c>
      <c r="M601" s="168"/>
      <c r="N601" s="168">
        <f ca="1">IFERROR(__xludf.DUMMYFUNCTION("IMPORTRANGE(""https://docs.google.com/spreadsheets/d/11923uPwbBZFjjGgGUA6NLw09EwE0CqkOc4q9oUmW1yo/edit?usp=sharing"",""แพร่!M496"")"),432)</f>
        <v>432</v>
      </c>
      <c r="O601" s="168">
        <f t="shared" ca="1" si="126"/>
        <v>9.4945054945054945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IFERROR(__xludf.DUMMYFUNCTION("IMPORTRANGE(""https://docs.google.com/spreadsheets/d/11923uPwbBZFjjGgGUA6NLw09EwE0CqkOc4q9oUmW1yo/edit?usp=sharing"",""แพร่!M497"")"),0)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IFERROR(__xludf.DUMMYFUNCTION("IMPORTRANGE(""https://docs.google.com/spreadsheets/d/11923uPwbBZFjjGgGUA6NLw09EwE0CqkOc4q9oUmW1yo/edit?usp=sharing"",""แพร่!M498"")"),0)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IFERROR(__xludf.DUMMYFUNCTION("IMPORTRANGE(""https://docs.google.com/spreadsheets/d/11923uPwbBZFjjGgGUA6NLw09EwE0CqkOc4q9oUmW1yo/edit?usp=sharing"",""แพร่!M499"")"),0)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IFERROR(__xludf.DUMMYFUNCTION("IMPORTRANGE(""https://docs.google.com/spreadsheets/d/11923uPwbBZFjjGgGUA6NLw09EwE0CqkOc4q9oUmW1yo/edit?usp=sharing"",""แพร่!M500"")"),432)</f>
        <v>432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IFERROR(__xludf.DUMMYFUNCTION("IMPORTRANGE(""https://docs.google.com/spreadsheets/d/11923uPwbBZFjjGgGUA6NLw09EwE0CqkOc4q9oUmW1yo/edit?usp=sharing"",""แพร่!J502"")"),0)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IFERROR(__xludf.DUMMYFUNCTION("IMPORTRANGE(""https://docs.google.com/spreadsheets/d/11923uPwbBZFjjGgGUA6NLw09EwE0CqkOc4q9oUmW1yo/edit?usp=sharing"",""แพร่!J503"")"),1)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IFERROR(__xludf.DUMMYFUNCTION("IMPORTRANGE(""https://docs.google.com/spreadsheets/d/11923uPwbBZFjjGgGUA6NLw09EwE0CqkOc4q9oUmW1yo/edit?usp=sharing"",""แพร่!J166"")"),0)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IFERROR(__xludf.DUMMYFUNCTION("IMPORTRANGE(""https://docs.google.com/spreadsheets/d/11923uPwbBZFjjGgGUA6NLw09EwE0CqkOc4q9oUmW1yo/edit?usp=sharing"",""แพร่!J166"")"),0)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IFERROR(__xludf.DUMMYFUNCTION("IMPORTRANGE(""https://docs.google.com/spreadsheets/d/11923uPwbBZFjjGgGUA6NLw09EwE0CqkOc4q9oUmW1yo/edit?usp=sharing"",""แพร่!I506"")"),50)</f>
        <v>50</v>
      </c>
      <c r="J611" s="162">
        <f ca="1">IFERROR(__xludf.DUMMYFUNCTION("IMPORTRANGE(""https://docs.google.com/spreadsheets/d/11923uPwbBZFjjGgGUA6NLw09EwE0CqkOc4q9oUmW1yo/edit?usp=sharing"",""แพร่!J506"")"),0)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IFERROR(__xludf.DUMMYFUNCTION("IMPORTRANGE(""https://docs.google.com/spreadsheets/d/11923uPwbBZFjjGgGUA6NLw09EwE0CqkOc4q9oUmW1yo/edit?usp=sharing"",""แพร่!I507"")"),0)</f>
        <v>0</v>
      </c>
      <c r="J612" s="197">
        <f ca="1">IFERROR(__xludf.DUMMYFUNCTION("IMPORTRANGE(""https://docs.google.com/spreadsheets/d/11923uPwbBZFjjGgGUA6NLw09EwE0CqkOc4q9oUmW1yo/edit?usp=sharing"",""แพร่!J507"")"),0)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IFERROR(__xludf.DUMMYFUNCTION("IMPORTRANGE(""https://docs.google.com/spreadsheets/d/11923uPwbBZFjjGgGUA6NLw09EwE0CqkOc4q9oUmW1yo/edit?usp=sharing"",""แพร่!I508"")"),0)</f>
        <v>0</v>
      </c>
      <c r="J613" s="197">
        <f ca="1">IFERROR(__xludf.DUMMYFUNCTION("IMPORTRANGE(""https://docs.google.com/spreadsheets/d/11923uPwbBZFjjGgGUA6NLw09EwE0CqkOc4q9oUmW1yo/edit?usp=sharing"",""แพร่!J508"")"),0)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IFERROR(__xludf.DUMMYFUNCTION("IMPORTRANGE(""https://docs.google.com/spreadsheets/d/11923uPwbBZFjjGgGUA6NLw09EwE0CqkOc4q9oUmW1yo/edit?usp=sharing"",""แพร่!I509"")"),0)</f>
        <v>0</v>
      </c>
      <c r="J614" s="197">
        <f ca="1">IFERROR(__xludf.DUMMYFUNCTION("IMPORTRANGE(""https://docs.google.com/spreadsheets/d/11923uPwbBZFjjGgGUA6NLw09EwE0CqkOc4q9oUmW1yo/edit?usp=sharing"",""แพร่!J509"")"),0)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IFERROR(__xludf.DUMMYFUNCTION("IMPORTRANGE(""https://docs.google.com/spreadsheets/d/11923uPwbBZFjjGgGUA6NLw09EwE0CqkOc4q9oUmW1yo/edit?usp=sharing"",""แพร่!I510"")"),0)</f>
        <v>0</v>
      </c>
      <c r="J615" s="197">
        <f ca="1">IFERROR(__xludf.DUMMYFUNCTION("IMPORTRANGE(""https://docs.google.com/spreadsheets/d/11923uPwbBZFjjGgGUA6NLw09EwE0CqkOc4q9oUmW1yo/edit?usp=sharing"",""แพร่!J510"")"),0)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IFERROR(__xludf.DUMMYFUNCTION("IMPORTRANGE(""https://docs.google.com/spreadsheets/d/11923uPwbBZFjjGgGUA6NLw09EwE0CqkOc4q9oUmW1yo/edit?usp=sharing"",""แพร่!I511"")"),0)</f>
        <v>0</v>
      </c>
      <c r="J616" s="197">
        <f ca="1">IFERROR(__xludf.DUMMYFUNCTION("IMPORTRANGE(""https://docs.google.com/spreadsheets/d/11923uPwbBZFjjGgGUA6NLw09EwE0CqkOc4q9oUmW1yo/edit?usp=sharing"",""แพร่!J511"")"),0)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IFERROR(__xludf.DUMMYFUNCTION("IMPORTRANGE(""https://docs.google.com/spreadsheets/d/11923uPwbBZFjjGgGUA6NLw09EwE0CqkOc4q9oUmW1yo/edit?usp=sharing"",""แพร่!I512"")"),0)</f>
        <v>0</v>
      </c>
      <c r="J617" s="187">
        <f ca="1">IFERROR(__xludf.DUMMYFUNCTION("IMPORTRANGE(""https://docs.google.com/spreadsheets/d/11923uPwbBZFjjGgGUA6NLw09EwE0CqkOc4q9oUmW1yo/edit?usp=sharing"",""แพร่!J512"")"),0)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IFERROR(__xludf.DUMMYFUNCTION("IMPORTRANGE(""https://docs.google.com/spreadsheets/d/11923uPwbBZFjjGgGUA6NLw09EwE0CqkOc4q9oUmW1yo/edit?usp=sharing"",""แพร่!I513"")"),0)</f>
        <v>0</v>
      </c>
      <c r="J618" s="188">
        <f ca="1">IFERROR(__xludf.DUMMYFUNCTION("IMPORTRANGE(""https://docs.google.com/spreadsheets/d/11923uPwbBZFjjGgGUA6NLw09EwE0CqkOc4q9oUmW1yo/edit?usp=sharing"",""แพร่!J513"")"),0)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IFERROR(__xludf.DUMMYFUNCTION("IMPORTRANGE(""https://docs.google.com/spreadsheets/d/11923uPwbBZFjjGgGUA6NLw09EwE0CqkOc4q9oUmW1yo/edit?usp=sharing"",""แพร่!I514"")"),0)</f>
        <v>0</v>
      </c>
      <c r="J619" s="188">
        <f ca="1">IFERROR(__xludf.DUMMYFUNCTION("IMPORTRANGE(""https://docs.google.com/spreadsheets/d/11923uPwbBZFjjGgGUA6NLw09EwE0CqkOc4q9oUmW1yo/edit?usp=sharing"",""แพร่!J514"")"),0)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IFERROR(__xludf.DUMMYFUNCTION("IMPORTRANGE(""https://docs.google.com/spreadsheets/d/11923uPwbBZFjjGgGUA6NLw09EwE0CqkOc4q9oUmW1yo/edit?usp=sharing"",""แพร่!I515"")"),0)</f>
        <v>0</v>
      </c>
      <c r="J620" s="202">
        <f ca="1">IFERROR(__xludf.DUMMYFUNCTION("IMPORTRANGE(""https://docs.google.com/spreadsheets/d/11923uPwbBZFjjGgGUA6NLw09EwE0CqkOc4q9oUmW1yo/edit?usp=sharing"",""แพร่!J515"")"),0)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IFERROR(__xludf.DUMMYFUNCTION("IMPORTRANGE(""https://docs.google.com/spreadsheets/d/11923uPwbBZFjjGgGUA6NLw09EwE0CqkOc4q9oUmW1yo/edit?usp=sharing"",""แพร่!I516"")"),0)</f>
        <v>0</v>
      </c>
      <c r="J621" s="202">
        <f ca="1">IFERROR(__xludf.DUMMYFUNCTION("IMPORTRANGE(""https://docs.google.com/spreadsheets/d/11923uPwbBZFjjGgGUA6NLw09EwE0CqkOc4q9oUmW1yo/edit?usp=sharing"",""แพร่!J516"")"),0)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IFERROR(__xludf.DUMMYFUNCTION("IMPORTRANGE(""https://docs.google.com/spreadsheets/d/11923uPwbBZFjjGgGUA6NLw09EwE0CqkOc4q9oUmW1yo/edit?usp=sharing"",""แพร่!I517"")"),0)</f>
        <v>0</v>
      </c>
      <c r="J622" s="188">
        <f ca="1">IFERROR(__xludf.DUMMYFUNCTION("IMPORTRANGE(""https://docs.google.com/spreadsheets/d/11923uPwbBZFjjGgGUA6NLw09EwE0CqkOc4q9oUmW1yo/edit?usp=sharing"",""แพร่!J517"")"),0)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IFERROR(__xludf.DUMMYFUNCTION("IMPORTRANGE(""https://docs.google.com/spreadsheets/d/11923uPwbBZFjjGgGUA6NLw09EwE0CqkOc4q9oUmW1yo/edit?usp=sharing"",""แพร่!I518"")"),0)</f>
        <v>0</v>
      </c>
      <c r="J623" s="188">
        <f ca="1">IFERROR(__xludf.DUMMYFUNCTION("IMPORTRANGE(""https://docs.google.com/spreadsheets/d/11923uPwbBZFjjGgGUA6NLw09EwE0CqkOc4q9oUmW1yo/edit?usp=sharing"",""แพร่!J518"")"),0)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IFERROR(__xludf.DUMMYFUNCTION("IMPORTRANGE(""https://docs.google.com/spreadsheets/d/11923uPwbBZFjjGgGUA6NLw09EwE0CqkOc4q9oUmW1yo/edit?usp=sharing"",""แพร่!I519"")"),0)</f>
        <v>0</v>
      </c>
      <c r="J624" s="187">
        <f ca="1">IFERROR(__xludf.DUMMYFUNCTION("IMPORTRANGE(""https://docs.google.com/spreadsheets/d/11923uPwbBZFjjGgGUA6NLw09EwE0CqkOc4q9oUmW1yo/edit?usp=sharing"",""แพร่!J519"")"),0)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IFERROR(__xludf.DUMMYFUNCTION("IMPORTRANGE(""https://docs.google.com/spreadsheets/d/11923uPwbBZFjjGgGUA6NLw09EwE0CqkOc4q9oUmW1yo/edit?usp=sharing"",""แพร่!I520"")"),0)</f>
        <v>0</v>
      </c>
      <c r="J625" s="188">
        <f ca="1">IFERROR(__xludf.DUMMYFUNCTION("IMPORTRANGE(""https://docs.google.com/spreadsheets/d/11923uPwbBZFjjGgGUA6NLw09EwE0CqkOc4q9oUmW1yo/edit?usp=sharing"",""แพร่!J520"")"),0)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IFERROR(__xludf.DUMMYFUNCTION("IMPORTRANGE(""https://docs.google.com/spreadsheets/d/11923uPwbBZFjjGgGUA6NLw09EwE0CqkOc4q9oUmW1yo/edit?usp=sharing"",""แพร่!I521"")"),0)</f>
        <v>0</v>
      </c>
      <c r="J626" s="188">
        <f ca="1">IFERROR(__xludf.DUMMYFUNCTION("IMPORTRANGE(""https://docs.google.com/spreadsheets/d/11923uPwbBZFjjGgGUA6NLw09EwE0CqkOc4q9oUmW1yo/edit?usp=sharing"",""แพร่!J521"")"),0)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IFERROR(__xludf.DUMMYFUNCTION("IMPORTRANGE(""https://docs.google.com/spreadsheets/d/11923uPwbBZFjjGgGUA6NLw09EwE0CqkOc4q9oUmW1yo/edit?usp=sharing"",""แพร่!I523"")"),3480000)</f>
        <v>3480000</v>
      </c>
      <c r="J628" s="341">
        <f ca="1">IFERROR(__xludf.DUMMYFUNCTION("IMPORTRANGE(""https://docs.google.com/spreadsheets/d/11923uPwbBZFjjGgGUA6NLw09EwE0CqkOc4q9oUmW1yo/edit?usp=sharing"",""แพร่!J523"")"),2335000)</f>
        <v>2335000</v>
      </c>
      <c r="K628" s="342">
        <f t="shared" ref="K628:K635" ca="1" si="129">IF(I628&gt;0,J628*100/I628,0)</f>
        <v>67.097701149425291</v>
      </c>
      <c r="L628" s="342"/>
      <c r="M628" s="342"/>
      <c r="N628" s="342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IFERROR(__xludf.DUMMYFUNCTION("IMPORTRANGE(""https://docs.google.com/spreadsheets/d/11923uPwbBZFjjGgGUA6NLw09EwE0CqkOc4q9oUmW1yo/edit?usp=sharing"",""แพร่!I524"")"),160)</f>
        <v>160</v>
      </c>
      <c r="J629" s="341">
        <f ca="1">IFERROR(__xludf.DUMMYFUNCTION("IMPORTRANGE(""https://docs.google.com/spreadsheets/d/11923uPwbBZFjjGgGUA6NLw09EwE0CqkOc4q9oUmW1yo/edit?usp=sharing"",""แพร่!J524"")"),104)</f>
        <v>104</v>
      </c>
      <c r="K629" s="342">
        <f t="shared" ca="1" si="129"/>
        <v>65</v>
      </c>
      <c r="L629" s="342"/>
      <c r="M629" s="342"/>
      <c r="N629" s="342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IFERROR(__xludf.DUMMYFUNCTION("IMPORTRANGE(""https://docs.google.com/spreadsheets/d/11923uPwbBZFjjGgGUA6NLw09EwE0CqkOc4q9oUmW1yo/edit?usp=sharing"",""แพร่!I525"")"),664125.88)</f>
        <v>664125.88</v>
      </c>
      <c r="J630" s="341">
        <f ca="1">IFERROR(__xludf.DUMMYFUNCTION("IMPORTRANGE(""https://docs.google.com/spreadsheets/d/11923uPwbBZFjjGgGUA6NLw09EwE0CqkOc4q9oUmW1yo/edit?usp=sharing"",""แพร่!J525"")"),83175.03)</f>
        <v>83175.03</v>
      </c>
      <c r="K630" s="342">
        <f t="shared" ca="1" si="129"/>
        <v>12.52398566368171</v>
      </c>
      <c r="L630" s="342"/>
      <c r="M630" s="342"/>
      <c r="N630" s="342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IFERROR(__xludf.DUMMYFUNCTION("IMPORTRANGE(""https://docs.google.com/spreadsheets/d/11923uPwbBZFjjGgGUA6NLw09EwE0CqkOc4q9oUmW1yo/edit?usp=sharing"",""แพร่!I526"")"),54)</f>
        <v>54</v>
      </c>
      <c r="J631" s="341">
        <f ca="1">IFERROR(__xludf.DUMMYFUNCTION("IMPORTRANGE(""https://docs.google.com/spreadsheets/d/11923uPwbBZFjjGgGUA6NLw09EwE0CqkOc4q9oUmW1yo/edit?usp=sharing"",""แพร่!J526"")"),48)</f>
        <v>48</v>
      </c>
      <c r="K631" s="342">
        <f t="shared" ca="1" si="129"/>
        <v>88.888888888888886</v>
      </c>
      <c r="L631" s="342"/>
      <c r="M631" s="342"/>
      <c r="N631" s="342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IFERROR(__xludf.DUMMYFUNCTION("IMPORTRANGE(""https://docs.google.com/spreadsheets/d/11923uPwbBZFjjGgGUA6NLw09EwE0CqkOc4q9oUmW1yo/edit?usp=sharing"",""แพร่!I527"")"),0)</f>
        <v>0</v>
      </c>
      <c r="J632" s="341">
        <f ca="1">IFERROR(__xludf.DUMMYFUNCTION("IMPORTRANGE(""https://docs.google.com/spreadsheets/d/11923uPwbBZFjjGgGUA6NLw09EwE0CqkOc4q9oUmW1yo/edit?usp=sharing"",""แพร่!J527"")"),0)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IFERROR(__xludf.DUMMYFUNCTION("IMPORTRANGE(""https://docs.google.com/spreadsheets/d/11923uPwbBZFjjGgGUA6NLw09EwE0CqkOc4q9oUmW1yo/edit?usp=sharing"",""แพร่!I528"")"),0)</f>
        <v>0</v>
      </c>
      <c r="J633" s="341">
        <f ca="1">IFERROR(__xludf.DUMMYFUNCTION("IMPORTRANGE(""https://docs.google.com/spreadsheets/d/11923uPwbBZFjjGgGUA6NLw09EwE0CqkOc4q9oUmW1yo/edit?usp=sharing"",""แพร่!J528"")"),0)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IFERROR(__xludf.DUMMYFUNCTION("IMPORTRANGE(""https://docs.google.com/spreadsheets/d/11923uPwbBZFjjGgGUA6NLw09EwE0CqkOc4q9oUmW1yo/edit?usp=sharing"",""แพร่!I529"")"),3500000)</f>
        <v>3500000</v>
      </c>
      <c r="J634" s="341">
        <f ca="1">IFERROR(__xludf.DUMMYFUNCTION("IMPORTRANGE(""https://docs.google.com/spreadsheets/d/11923uPwbBZFjjGgGUA6NLw09EwE0CqkOc4q9oUmW1yo/edit?usp=sharing"",""แพร่!J529"")"),1185000)</f>
        <v>1185000</v>
      </c>
      <c r="K634" s="342">
        <f t="shared" ca="1" si="129"/>
        <v>33.857142857142854</v>
      </c>
      <c r="L634" s="342"/>
      <c r="M634" s="342"/>
      <c r="N634" s="342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IFERROR(__xludf.DUMMYFUNCTION("IMPORTRANGE(""https://docs.google.com/spreadsheets/d/11923uPwbBZFjjGgGUA6NLw09EwE0CqkOc4q9oUmW1yo/edit?usp=sharing"",""แพร่!I530"")"),140)</f>
        <v>140</v>
      </c>
      <c r="J635" s="504">
        <f ca="1">IFERROR(__xludf.DUMMYFUNCTION("IMPORTRANGE(""https://docs.google.com/spreadsheets/d/11923uPwbBZFjjGgGUA6NLw09EwE0CqkOc4q9oUmW1yo/edit?usp=sharing"",""แพร่!J530"")"),55)</f>
        <v>55</v>
      </c>
      <c r="K635" s="486">
        <f t="shared" ca="1" si="129"/>
        <v>39.285714285714285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120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5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120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120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5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IFERROR(__xludf.DUMMYFUNCTION("IMPORTRANGE(""https://docs.google.com/spreadsheets/d/11923uPwbBZFjjGgGUA6NLw09EwE0CqkOc4q9oUmW1yo/edit?usp=sharing"",""แพร่!J541"")"),0)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5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IFERROR(__xludf.DUMMYFUNCTION("IMPORTRANGE(""https://docs.google.com/spreadsheets/d/11923uPwbBZFjjGgGUA6NLw09EwE0CqkOc4q9oUmW1yo/edit?usp=sharing"",""แพร่!J542"")"),0)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5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IFERROR(__xludf.DUMMYFUNCTION("IMPORTRANGE(""https://docs.google.com/spreadsheets/d/11923uPwbBZFjjGgGUA6NLw09EwE0CqkOc4q9oUmW1yo/edit?usp=sharing"",""แพร่!I543"")"),0)</f>
        <v>0</v>
      </c>
      <c r="J648" s="535">
        <f ca="1">IFERROR(__xludf.DUMMYFUNCTION("IMPORTRANGE(""https://docs.google.com/spreadsheets/d/11923uPwbBZFjjGgGUA6NLw09EwE0CqkOc4q9oUmW1yo/edit?usp=sharing"",""แพร่!J543"")"),0)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IFERROR(__xludf.DUMMYFUNCTION("IMPORTRANGE(""https://docs.google.com/spreadsheets/d/11923uPwbBZFjjGgGUA6NLw09EwE0CqkOc4q9oUmW1yo/edit?usp=sharing"",""แพร่!L543"")"),0)</f>
        <v>0</v>
      </c>
      <c r="M648" s="520"/>
      <c r="N648" s="537">
        <f ca="1">IFERROR(__xludf.DUMMYFUNCTION("IMPORTRANGE(""https://docs.google.com/spreadsheets/d/11923uPwbBZFjjGgGUA6NLw09EwE0CqkOc4q9oUmW1yo/edit?usp=sharing"",""แพร่!M543"")"),0)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5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IFERROR(__xludf.DUMMYFUNCTION("IMPORTRANGE(""https://docs.google.com/spreadsheets/d/11923uPwbBZFjjGgGUA6NLw09EwE0CqkOc4q9oUmW1yo/edit?usp=sharing"",""แพร่!I544"")"),0)</f>
        <v>0</v>
      </c>
      <c r="J649" s="535">
        <f ca="1">IFERROR(__xludf.DUMMYFUNCTION("IMPORTRANGE(""https://docs.google.com/spreadsheets/d/11923uPwbBZFjjGgGUA6NLw09EwE0CqkOc4q9oUmW1yo/edit?usp=sharing"",""แพร่!J544"")"),0)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IFERROR(__xludf.DUMMYFUNCTION("IMPORTRANGE(""https://docs.google.com/spreadsheets/d/11923uPwbBZFjjGgGUA6NLw09EwE0CqkOc4q9oUmW1yo/edit?usp=sharing"",""แพร่!L544"")"),0)</f>
        <v>0</v>
      </c>
      <c r="M649" s="520"/>
      <c r="N649" s="537">
        <f ca="1">IFERROR(__xludf.DUMMYFUNCTION("IMPORTRANGE(""https://docs.google.com/spreadsheets/d/11923uPwbBZFjjGgGUA6NLw09EwE0CqkOc4q9oUmW1yo/edit?usp=sharing"",""แพร่!M544"")"),0)</f>
        <v>0</v>
      </c>
      <c r="O649" s="536">
        <f t="shared" ca="1" si="132"/>
        <v>0</v>
      </c>
      <c r="P649" s="536"/>
    </row>
    <row r="650" spans="1:16" ht="21.75" customHeight="1" x14ac:dyDescent="0.45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IFERROR(__xludf.DUMMYFUNCTION("IMPORTRANGE(""https://docs.google.com/spreadsheets/d/11923uPwbBZFjjGgGUA6NLw09EwE0CqkOc4q9oUmW1yo/edit?usp=sharing"",""แพร่!I545"")"),0)</f>
        <v>0</v>
      </c>
      <c r="J650" s="535">
        <f ca="1">IFERROR(__xludf.DUMMYFUNCTION("IMPORTRANGE(""https://docs.google.com/spreadsheets/d/11923uPwbBZFjjGgGUA6NLw09EwE0CqkOc4q9oUmW1yo/edit?usp=sharing"",""แพร่!J545"")"),0)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IFERROR(__xludf.DUMMYFUNCTION("IMPORTRANGE(""https://docs.google.com/spreadsheets/d/11923uPwbBZFjjGgGUA6NLw09EwE0CqkOc4q9oUmW1yo/edit?usp=sharing"",""แพร่!L545"")"),0)</f>
        <v>0</v>
      </c>
      <c r="M650" s="520"/>
      <c r="N650" s="537">
        <f ca="1">IFERROR(__xludf.DUMMYFUNCTION("IMPORTRANGE(""https://docs.google.com/spreadsheets/d/11923uPwbBZFjjGgGUA6NLw09EwE0CqkOc4q9oUmW1yo/edit?usp=sharing"",""แพร่!M545"")"),0)</f>
        <v>0</v>
      </c>
      <c r="O650" s="536">
        <f t="shared" ca="1" si="132"/>
        <v>0</v>
      </c>
      <c r="P650" s="536"/>
    </row>
    <row r="651" spans="1:16" ht="21.75" customHeight="1" x14ac:dyDescent="0.45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IFERROR(__xludf.DUMMYFUNCTION("IMPORTRANGE(""https://docs.google.com/spreadsheets/d/11923uPwbBZFjjGgGUA6NLw09EwE0CqkOc4q9oUmW1yo/edit?usp=sharing"",""แพร่!I546"")"),0)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IFERROR(__xludf.DUMMYFUNCTION("IMPORTRANGE(""https://docs.google.com/spreadsheets/d/11923uPwbBZFjjGgGUA6NLw09EwE0CqkOc4q9oUmW1yo/edit?usp=sharing"",""แพร่!L546"")"),0)</f>
        <v>0</v>
      </c>
      <c r="M651" s="520"/>
      <c r="N651" s="537">
        <f ca="1">IFERROR(__xludf.DUMMYFUNCTION("IMPORTRANGE(""https://docs.google.com/spreadsheets/d/11923uPwbBZFjjGgGUA6NLw09EwE0CqkOc4q9oUmW1yo/edit?usp=sharing"",""แพร่!M546"")"),0)</f>
        <v>0</v>
      </c>
      <c r="O651" s="536">
        <f t="shared" ca="1" si="132"/>
        <v>0</v>
      </c>
      <c r="P651" s="536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IFERROR(__xludf.DUMMYFUNCTION("IMPORTRANGE(""https://docs.google.com/spreadsheets/d/11923uPwbBZFjjGgGUA6NLw09EwE0CqkOc4q9oUmW1yo/edit?usp=sharing"",""แพร่!J547"")"),0)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IFERROR(__xludf.DUMMYFUNCTION("IMPORTRANGE(""https://docs.google.com/spreadsheets/d/11923uPwbBZFjjGgGUA6NLw09EwE0CqkOc4q9oUmW1yo/edit?usp=sharing"",""แพร่!J548"")"),0)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IFERROR(__xludf.DUMMYFUNCTION("IMPORTRANGE(""https://docs.google.com/spreadsheets/d/11923uPwbBZFjjGgGUA6NLw09EwE0CqkOc4q9oUmW1yo/edit?usp=sharing"",""แพร่!J550"")"),0)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IFERROR(__xludf.DUMMYFUNCTION("IMPORTRANGE(""https://docs.google.com/spreadsheets/d/11923uPwbBZFjjGgGUA6NLw09EwE0CqkOc4q9oUmW1yo/edit?usp=sharing"",""แพร่!J551"")"),0)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IFERROR(__xludf.DUMMYFUNCTION("IMPORTRANGE(""https://docs.google.com/spreadsheets/d/11923uPwbBZFjjGgGUA6NLw09EwE0CqkOc4q9oUmW1yo/edit?usp=sharing"",""แพร่!J552"")"),0)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IFERROR(__xludf.DUMMYFUNCTION("IMPORTRANGE(""https://docs.google.com/spreadsheets/d/11923uPwbBZFjjGgGUA6NLw09EwE0CqkOc4q9oUmW1yo/edit?usp=sharing"",""แพร่!J553"")"),0)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IFERROR(__xludf.DUMMYFUNCTION("IMPORTRANGE(""https://docs.google.com/spreadsheets/d/11923uPwbBZFjjGgGUA6NLw09EwE0CqkOc4q9oUmW1yo/edit?usp=sharing"",""แพร่!J554"")"),0)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IFERROR(__xludf.DUMMYFUNCTION("IMPORTRANGE(""https://docs.google.com/spreadsheets/d/11923uPwbBZFjjGgGUA6NLw09EwE0CqkOc4q9oUmW1yo/edit?usp=sharing"",""แพร่!J555"")"),0)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5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IFERROR(__xludf.DUMMYFUNCTION("IMPORTRANGE(""https://docs.google.com/spreadsheets/d/11923uPwbBZFjjGgGUA6NLw09EwE0CqkOc4q9oUmW1yo/edit?usp=sharing"",""แพร่!J556"")"),0)</f>
        <v>0</v>
      </c>
      <c r="K661" s="536"/>
      <c r="L661" s="521">
        <f ca="1">IFERROR(__xludf.DUMMYFUNCTION("IMPORTRANGE(""https://docs.google.com/spreadsheets/d/11923uPwbBZFjjGgGUA6NLw09EwE0CqkOc4q9oUmW1yo/edit?usp=sharing"",""แพร่!L556"")"),0)</f>
        <v>0</v>
      </c>
      <c r="M661" s="520"/>
      <c r="N661" s="537">
        <f ca="1">IFERROR(__xludf.DUMMYFUNCTION("IMPORTRANGE(""https://docs.google.com/spreadsheets/d/11923uPwbBZFjjGgGUA6NLw09EwE0CqkOc4q9oUmW1yo/edit?usp=sharing"",""แพร่!M556"")"),0)</f>
        <v>0</v>
      </c>
      <c r="O661" s="536">
        <f ca="1">IF(L661&gt;0,N661*100/L661,0)</f>
        <v>0</v>
      </c>
      <c r="P661" s="536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IFERROR(__xludf.DUMMYFUNCTION("IMPORTRANGE(""https://docs.google.com/spreadsheets/d/11923uPwbBZFjjGgGUA6NLw09EwE0CqkOc4q9oUmW1yo/edit?usp=sharing"",""แพร่!J557"")"),0)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IFERROR(__xludf.DUMMYFUNCTION("IMPORTRANGE(""https://docs.google.com/spreadsheets/d/11923uPwbBZFjjGgGUA6NLw09EwE0CqkOc4q9oUmW1yo/edit?usp=sharing"",""แพร่!I558"")"),0)</f>
        <v>0</v>
      </c>
      <c r="J663" s="535">
        <f ca="1">IFERROR(__xludf.DUMMYFUNCTION("IMPORTRANGE(""https://docs.google.com/spreadsheets/d/11923uPwbBZFjjGgGUA6NLw09EwE0CqkOc4q9oUmW1yo/edit?usp=sharing"",""แพร่!J558"")"),0)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5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IFERROR(__xludf.DUMMYFUNCTION("IMPORTRANGE(""https://docs.google.com/spreadsheets/d/11923uPwbBZFjjGgGUA6NLw09EwE0CqkOc4q9oUmW1yo/edit?usp=sharing"",""แพร่!I560"")"),1)</f>
        <v>1</v>
      </c>
      <c r="J665" s="535">
        <f ca="1">IFERROR(__xludf.DUMMYFUNCTION("IMPORTRANGE(""https://docs.google.com/spreadsheets/d/11923uPwbBZFjjGgGUA6NLw09EwE0CqkOc4q9oUmW1yo/edit?usp=sharing"",""แพร่!J560"")"),0)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IFERROR(__xludf.DUMMYFUNCTION("IMPORTRANGE(""https://docs.google.com/spreadsheets/d/11923uPwbBZFjjGgGUA6NLw09EwE0CqkOc4q9oUmW1yo/edit?usp=sharing"",""แพร่!L560"")"),120)</f>
        <v>120</v>
      </c>
      <c r="M665" s="520"/>
      <c r="N665" s="537">
        <f ca="1">IFERROR(__xludf.DUMMYFUNCTION("IMPORTRANGE(""https://docs.google.com/spreadsheets/d/11923uPwbBZFjjGgGUA6NLw09EwE0CqkOc4q9oUmW1yo/edit?usp=sharing"",""แพร่!M560"")"),0)</f>
        <v>0</v>
      </c>
      <c r="O665" s="536">
        <f ca="1">IF(L665&gt;0,N665*100/L665,0)</f>
        <v>0</v>
      </c>
      <c r="P665" s="536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IFERROR(__xludf.DUMMYFUNCTION("IMPORTRANGE(""https://docs.google.com/spreadsheets/d/11923uPwbBZFjjGgGUA6NLw09EwE0CqkOc4q9oUmW1yo/edit?usp=sharing"",""แพร่!J561"")"),0)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IFERROR(__xludf.DUMMYFUNCTION("IMPORTRANGE(""https://docs.google.com/spreadsheets/d/11923uPwbBZFjjGgGUA6NLw09EwE0CqkOc4q9oUmW1yo/edit?usp=sharing"",""แพร่!J562"")"),0)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IFERROR(__xludf.DUMMYFUNCTION("IMPORTRANGE(""https://docs.google.com/spreadsheets/d/11923uPwbBZFjjGgGUA6NLw09EwE0CqkOc4q9oUmW1yo/edit?usp=sharing"",""แพร่!I563"")"),0)</f>
        <v>0</v>
      </c>
      <c r="J668" s="535">
        <f ca="1">IFERROR(__xludf.DUMMYFUNCTION("IMPORTRANGE(""https://docs.google.com/spreadsheets/d/11923uPwbBZFjjGgGUA6NLw09EwE0CqkOc4q9oUmW1yo/edit?usp=sharing"",""แพร่!J563"")"),0)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IFERROR(__xludf.DUMMYFUNCTION("IMPORTRANGE(""https://docs.google.com/spreadsheets/d/11923uPwbBZFjjGgGUA6NLw09EwE0CqkOc4q9oUmW1yo/edit?usp=sharing"",""แพร่!L563"")"),0)</f>
        <v>0</v>
      </c>
      <c r="M668" s="520"/>
      <c r="N668" s="537">
        <f ca="1">IFERROR(__xludf.DUMMYFUNCTION("IMPORTRANGE(""https://docs.google.com/spreadsheets/d/11923uPwbBZFjjGgGUA6NLw09EwE0CqkOc4q9oUmW1yo/edit?usp=sharing"",""แพร่!M563"")"),0)</f>
        <v>0</v>
      </c>
      <c r="O668" s="536">
        <f ca="1">IF(L668&gt;0,N668*100/L668,0)</f>
        <v>0</v>
      </c>
      <c r="P668" s="536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IFERROR(__xludf.DUMMYFUNCTION("IMPORTRANGE(""https://docs.google.com/spreadsheets/d/11923uPwbBZFjjGgGUA6NLw09EwE0CqkOc4q9oUmW1yo/edit?usp=sharing"",""แพร่!J564"")"),0)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IFERROR(__xludf.DUMMYFUNCTION("IMPORTRANGE(""https://docs.google.com/spreadsheets/d/11923uPwbBZFjjGgGUA6NLw09EwE0CqkOc4q9oUmW1yo/edit?usp=sharing"",""แพร่!J565"")"),0)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5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IFERROR(__xludf.DUMMYFUNCTION("IMPORTRANGE(""https://docs.google.com/spreadsheets/d/11923uPwbBZFjjGgGUA6NLw09EwE0CqkOc4q9oUmW1yo/edit?usp=sharing"",""แพร่!I566"")"),0)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IFERROR(__xludf.DUMMYFUNCTION("IMPORTRANGE(""https://docs.google.com/spreadsheets/d/11923uPwbBZFjjGgGUA6NLw09EwE0CqkOc4q9oUmW1yo/edit?usp=sharing"",""แพร่!L566"")"),0)</f>
        <v>0</v>
      </c>
      <c r="M671" s="520"/>
      <c r="N671" s="537">
        <f ca="1">IFERROR(__xludf.DUMMYFUNCTION("IMPORTRANGE(""https://docs.google.com/spreadsheets/d/11923uPwbBZFjjGgGUA6NLw09EwE0CqkOc4q9oUmW1yo/edit?usp=sharing"",""แพร่!M566"")"),0)</f>
        <v>0</v>
      </c>
      <c r="O671" s="536">
        <f ca="1">IF(L671&gt;0,N671*100/L671,0)</f>
        <v>0</v>
      </c>
      <c r="P671" s="536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IFERROR(__xludf.DUMMYFUNCTION("IMPORTRANGE(""https://docs.google.com/spreadsheets/d/11923uPwbBZFjjGgGUA6NLw09EwE0CqkOc4q9oUmW1yo/edit?usp=sharing"",""แพร่!J567"")"),0)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IFERROR(__xludf.DUMMYFUNCTION("IMPORTRANGE(""https://docs.google.com/spreadsheets/d/11923uPwbBZFjjGgGUA6NLw09EwE0CqkOc4q9oUmW1yo/edit?usp=sharing"",""แพร่!J568"")"),0)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IFERROR(__xludf.DUMMYFUNCTION("IMPORTRANGE(""https://docs.google.com/spreadsheets/d/11923uPwbBZFjjGgGUA6NLw09EwE0CqkOc4q9oUmW1yo/edit?usp=sharing"",""แพร่!J569"")"),0)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IFERROR(__xludf.DUMMYFUNCTION("IMPORTRANGE(""https://docs.google.com/spreadsheets/d/11923uPwbBZFjjGgGUA6NLw09EwE0CqkOc4q9oUmW1yo/edit?usp=sharing"",""แพร่!J570"")"),0)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IFERROR(__xludf.DUMMYFUNCTION("IMPORTRANGE(""https://docs.google.com/spreadsheets/d/11923uPwbBZFjjGgGUA6NLw09EwE0CqkOc4q9oUmW1yo/edit?usp=sharing"",""แพร่!J571"")"),0)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5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IFERROR(__xludf.DUMMYFUNCTION("IMPORTRANGE(""https://docs.google.com/spreadsheets/d/11923uPwbBZFjjGgGUA6NLw09EwE0CqkOc4q9oUmW1yo/edit?usp=sharing"",""แพร่!J572"")"),0)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35">
      <c r="A2" s="577" t="s">
        <v>282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3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3165402</v>
      </c>
      <c r="M8" s="23">
        <f t="shared" ca="1" si="0"/>
        <v>1654610</v>
      </c>
      <c r="N8" s="23">
        <f t="shared" ca="1" si="0"/>
        <v>2050470.76</v>
      </c>
      <c r="O8" s="22">
        <f t="shared" ref="O8:O16" ca="1" si="1">IF(L8&gt;0,N8*100/L8,0)</f>
        <v>64.777578329703459</v>
      </c>
      <c r="P8" s="22">
        <f t="shared" ref="P8:P16" ca="1" si="2">IF(M8&gt;0,N8*100/M8,0)</f>
        <v>123.92471700279825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3165402</v>
      </c>
      <c r="M10" s="30">
        <f t="shared" ca="1" si="4"/>
        <v>1654610</v>
      </c>
      <c r="N10" s="30">
        <f t="shared" ca="1" si="4"/>
        <v>2050470.76</v>
      </c>
      <c r="O10" s="29">
        <f t="shared" ca="1" si="1"/>
        <v>64.777578329703459</v>
      </c>
      <c r="P10" s="29">
        <f t="shared" ca="1" si="2"/>
        <v>123.92471700279825</v>
      </c>
    </row>
    <row r="11" spans="1:16" ht="21.75" customHeight="1" x14ac:dyDescent="0.45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3117602</v>
      </c>
      <c r="M12" s="39">
        <f t="shared" ca="1" si="6"/>
        <v>1606810</v>
      </c>
      <c r="N12" s="39">
        <f t="shared" ca="1" si="6"/>
        <v>2002670.76</v>
      </c>
      <c r="O12" s="39">
        <f t="shared" ca="1" si="1"/>
        <v>64.237537697242942</v>
      </c>
      <c r="P12" s="39">
        <f t="shared" ca="1" si="2"/>
        <v>124.63643865796205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1558000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1559602</v>
      </c>
      <c r="M14" s="39">
        <f t="shared" si="8"/>
        <v>0</v>
      </c>
      <c r="N14" s="39">
        <f t="shared" ca="1" si="8"/>
        <v>710694</v>
      </c>
      <c r="O14" s="39">
        <f t="shared" ca="1" si="1"/>
        <v>45.56893361254987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47800</v>
      </c>
      <c r="M16" s="39">
        <f t="shared" ca="1" si="10"/>
        <v>47800</v>
      </c>
      <c r="N16" s="39">
        <f t="shared" ca="1" si="10"/>
        <v>47800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2081675</v>
      </c>
      <c r="M18" s="23">
        <f t="shared" ca="1" si="11"/>
        <v>1654610</v>
      </c>
      <c r="N18" s="23">
        <f t="shared" ca="1" si="11"/>
        <v>1339776.76</v>
      </c>
      <c r="O18" s="22">
        <f t="shared" ref="O18:O20" ca="1" si="12">IF(L18&gt;0,N18*100/L18,0)</f>
        <v>64.360515450298436</v>
      </c>
      <c r="P18" s="22">
        <f t="shared" ref="P18:P26" ca="1" si="13">IF(M18&gt;0,N18*100/M18,0)</f>
        <v>80.972359649705979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2081675</v>
      </c>
      <c r="M20" s="30">
        <f t="shared" ca="1" si="15"/>
        <v>1654610</v>
      </c>
      <c r="N20" s="30">
        <f t="shared" ca="1" si="15"/>
        <v>1339776.76</v>
      </c>
      <c r="O20" s="29">
        <f t="shared" ca="1" si="12"/>
        <v>64.360515450298436</v>
      </c>
      <c r="P20" s="29">
        <f t="shared" ca="1" si="13"/>
        <v>80.972359649705979</v>
      </c>
    </row>
    <row r="21" spans="1:16" ht="21.75" customHeight="1" x14ac:dyDescent="0.45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2033875</v>
      </c>
      <c r="M22" s="42">
        <f t="shared" ca="1" si="18"/>
        <v>1606810</v>
      </c>
      <c r="N22" s="39">
        <f t="shared" ca="1" si="18"/>
        <v>1291976.76</v>
      </c>
      <c r="O22" s="39">
        <f t="shared" ca="1" si="17"/>
        <v>63.522918566775246</v>
      </c>
      <c r="P22" s="39">
        <f t="shared" ca="1" si="13"/>
        <v>80.406318108550479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1558000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475875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47800</v>
      </c>
      <c r="M26" s="50">
        <f t="shared" ca="1" si="22"/>
        <v>47800</v>
      </c>
      <c r="N26" s="50">
        <f t="shared" ca="1" si="22"/>
        <v>47800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1083727</v>
      </c>
      <c r="M28" s="23">
        <f t="shared" si="23"/>
        <v>0</v>
      </c>
      <c r="N28" s="23">
        <f t="shared" ca="1" si="23"/>
        <v>710694</v>
      </c>
      <c r="O28" s="22">
        <f t="shared" ref="O28:O30" ca="1" si="24">IF(L28&gt;0,N28*100/L28,0)</f>
        <v>65.578692788866576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1083727</v>
      </c>
      <c r="M30" s="30">
        <f t="shared" si="27"/>
        <v>0</v>
      </c>
      <c r="N30" s="30">
        <f t="shared" ca="1" si="27"/>
        <v>710694</v>
      </c>
      <c r="O30" s="29">
        <f t="shared" ca="1" si="24"/>
        <v>65.578692788866576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1083727</v>
      </c>
      <c r="M32" s="39">
        <f t="shared" si="30"/>
        <v>0</v>
      </c>
      <c r="N32" s="39">
        <f t="shared" ca="1" si="30"/>
        <v>710694</v>
      </c>
      <c r="O32" s="39">
        <f t="shared" ca="1" si="29"/>
        <v>65.578692788866576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1083727</v>
      </c>
      <c r="M34" s="39">
        <f t="shared" si="32"/>
        <v>0</v>
      </c>
      <c r="N34" s="39">
        <f t="shared" ca="1" si="32"/>
        <v>710694</v>
      </c>
      <c r="O34" s="39">
        <f t="shared" ca="1" si="29"/>
        <v>65.578692788866576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2081675</v>
      </c>
      <c r="M37" s="55">
        <f t="shared" ca="1" si="33"/>
        <v>1654610</v>
      </c>
      <c r="N37" s="55">
        <f t="shared" ca="1" si="33"/>
        <v>1339776.76</v>
      </c>
      <c r="O37" s="56">
        <f t="shared" ca="1" si="29"/>
        <v>64.360515450298436</v>
      </c>
      <c r="P37" s="56">
        <f t="shared" ca="1" si="25"/>
        <v>80.972359649705979</v>
      </c>
    </row>
    <row r="38" spans="1:16" ht="21.75" customHeight="1" x14ac:dyDescent="0.45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669700</v>
      </c>
      <c r="M41" s="79">
        <f t="shared" ca="1" si="34"/>
        <v>502300</v>
      </c>
      <c r="N41" s="79">
        <f t="shared" ca="1" si="34"/>
        <v>411569.36</v>
      </c>
      <c r="O41" s="78">
        <f t="shared" ref="O41:O43" ca="1" si="35">IF(L41&gt;0,N41*100/L41,0)</f>
        <v>61.455780200089592</v>
      </c>
      <c r="P41" s="78">
        <f t="shared" ref="P41:P43" ca="1" si="36">IF(M41&gt;0,N41*100/M41,0)</f>
        <v>81.936961974915391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669700</v>
      </c>
      <c r="M43" s="79">
        <f t="shared" ca="1" si="38"/>
        <v>502300</v>
      </c>
      <c r="N43" s="79">
        <f t="shared" ca="1" si="38"/>
        <v>411569.36</v>
      </c>
      <c r="O43" s="78">
        <f t="shared" ca="1" si="35"/>
        <v>61.455780200089592</v>
      </c>
      <c r="P43" s="78">
        <f t="shared" ca="1" si="36"/>
        <v>81.936961974915391</v>
      </c>
    </row>
    <row r="44" spans="1:16" ht="21.75" customHeight="1" x14ac:dyDescent="0.45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669700</v>
      </c>
      <c r="M45" s="50">
        <f ca="1">IFERROR(__xludf.DUMMYFUNCTION("IMPORTRANGE(""https://docs.google.com/spreadsheets/d/1Yj_ptqi66GCucihVvJfMjLAmec39IyEx_6qawtMGysU/edit?usp=sharing"",""สบก!Q31"")"),502300)</f>
        <v>502300</v>
      </c>
      <c r="N45" s="50">
        <f ca="1">IFERROR(__xludf.DUMMYFUNCTION("IMPORTRANGE(""https://docs.google.com/spreadsheets/d/1Yj_ptqi66GCucihVvJfMjLAmec39IyEx_6qawtMGysU/edit?usp=sharing"",""สบก!R31"")"),411569.36)</f>
        <v>411569.36</v>
      </c>
      <c r="O45" s="39">
        <f ca="1">IF(L45&gt;0,N45*100/L45,0)</f>
        <v>61.455780200089592</v>
      </c>
      <c r="P45" s="39">
        <f ca="1">IF(M45&gt;0,N45*100/M45,0)</f>
        <v>81.936961974915391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IFERROR(__xludf.DUMMYFUNCTION("IMPORTRANGE(""https://docs.google.com/spreadsheets/d/1Yj_ptqi66GCucihVvJfMjLAmec39IyEx_6qawtMGysU/edit?usp=sharing"",""สบก!M31"")"),669700)</f>
        <v>669700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IFERROR(__xludf.DUMMYFUNCTION("IMPORTRANGE(""https://docs.google.com/spreadsheets/d/1Yj_ptqi66GCucihVvJfMjLAmec39IyEx_6qawtMGysU/edit?usp=sharing"",""สบก!N31"")"),0)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IFERROR(__xludf.DUMMYFUNCTION("IMPORTRANGE(""https://docs.google.com/spreadsheets/d/1Yj_ptqi66GCucihVvJfMjLAmec39IyEx_6qawtMGysU/edit?usp=sharing"",""สบก!O31"")"),0)</f>
        <v>0</v>
      </c>
      <c r="M49" s="50"/>
      <c r="N49" s="50">
        <f ca="1">IFERROR(__xludf.DUMMYFUNCTION("IMPORTRANGE(""https://docs.google.com/spreadsheets/d/1Yj_ptqi66GCucihVvJfMjLAmec39IyEx_6qawtMGysU/edit?usp=sharing"",""สบก!S31"")"),0)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181500</v>
      </c>
      <c r="M53" s="121">
        <f t="shared" ca="1" si="39"/>
        <v>157750</v>
      </c>
      <c r="N53" s="121">
        <f t="shared" ca="1" si="39"/>
        <v>143536</v>
      </c>
      <c r="O53" s="120">
        <f t="shared" ref="O53:O55" ca="1" si="40">IF(L53&gt;0,N53*100/L53,0)</f>
        <v>79.083195592286501</v>
      </c>
      <c r="P53" s="120">
        <f t="shared" ref="P53:P55" ca="1" si="41">IF(M53&gt;0,N53*100/M53,0)</f>
        <v>90.989540412044377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181500</v>
      </c>
      <c r="M55" s="121">
        <f t="shared" ca="1" si="43"/>
        <v>157750</v>
      </c>
      <c r="N55" s="121">
        <f t="shared" ca="1" si="43"/>
        <v>143536</v>
      </c>
      <c r="O55" s="120">
        <f t="shared" ca="1" si="40"/>
        <v>79.083195592286501</v>
      </c>
      <c r="P55" s="120">
        <f t="shared" ca="1" si="41"/>
        <v>90.989540412044377</v>
      </c>
    </row>
    <row r="56" spans="1:16" ht="21.75" customHeight="1" x14ac:dyDescent="0.45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181500</v>
      </c>
      <c r="M57" s="50">
        <f ca="1">IFERROR(__xludf.DUMMYFUNCTION("IMPORTRANGE(""https://docs.google.com/spreadsheets/d/1Yj_ptqi66GCucihVvJfMjLAmec39IyEx_6qawtMGysU/edit?usp=sharing"",""สบก!Z31"")"),157750)</f>
        <v>157750</v>
      </c>
      <c r="N57" s="50">
        <f ca="1">IFERROR(__xludf.DUMMYFUNCTION("IMPORTRANGE(""https://docs.google.com/spreadsheets/d/1Yj_ptqi66GCucihVvJfMjLAmec39IyEx_6qawtMGysU/edit?usp=sharing"",""สบก!AA31"")"),143536)</f>
        <v>143536</v>
      </c>
      <c r="O57" s="39">
        <f ca="1">IF(L57&gt;0,N57*100/L57,0)</f>
        <v>79.083195592286501</v>
      </c>
      <c r="P57" s="39">
        <f ca="1">IF(M57&gt;0,N57*100/M57,0)</f>
        <v>90.989540412044377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IFERROR(__xludf.DUMMYFUNCTION("IMPORTRANGE(""https://docs.google.com/spreadsheets/d/1Yj_ptqi66GCucihVvJfMjLAmec39IyEx_6qawtMGysU/edit?usp=sharing"",""สบก!V31"")"),181500)</f>
        <v>181500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IFERROR(__xludf.DUMMYFUNCTION("IMPORTRANGE(""https://docs.google.com/spreadsheets/d/1Yj_ptqi66GCucihVvJfMjLAmec39IyEx_6qawtMGysU/edit?usp=sharing"",""สบก!W31"")"),0)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IFERROR(__xludf.DUMMYFUNCTION("IMPORTRANGE(""https://docs.google.com/spreadsheets/d/1Yj_ptqi66GCucihVvJfMjLAmec39IyEx_6qawtMGysU/edit?usp=sharing"",""สบก!X31"")"),0)</f>
        <v>0</v>
      </c>
      <c r="M61" s="50"/>
      <c r="N61" s="50">
        <f ca="1">IFERROR(__xludf.DUMMYFUNCTION("IMPORTRANGE(""https://docs.google.com/spreadsheets/d/1Yj_ptqi66GCucihVvJfMjLAmec39IyEx_6qawtMGysU/edit?usp=sharing"",""สบก!AB31"")"),0)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IFERROR(__xludf.DUMMYFUNCTION("IMPORTRANGE(""https://docs.google.com/spreadsheets/d/11923uPwbBZFjjGgGUA6NLw09EwE0CqkOc4q9oUmW1yo/edit?usp=sharing"",""แม่ฮ่องสอน!I9"")"),0)</f>
        <v>0</v>
      </c>
      <c r="J64" s="142">
        <f ca="1">IFERROR(__xludf.DUMMYFUNCTION("IMPORTRANGE(""https://docs.google.com/spreadsheets/d/11923uPwbBZFjjGgGUA6NLw09EwE0CqkOc4q9oUmW1yo/edit?usp=sharing"",""แม่ฮ่องสอน!J9"")"),0)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IFERROR(__xludf.DUMMYFUNCTION("IMPORTRANGE(""https://docs.google.com/spreadsheets/d/11923uPwbBZFjjGgGUA6NLw09EwE0CqkOc4q9oUmW1yo/edit?usp=sharing"",""แม่ฮ่องสอน!I10"")"),0)</f>
        <v>0</v>
      </c>
      <c r="J65" s="142">
        <f ca="1">IFERROR(__xludf.DUMMYFUNCTION("IMPORTRANGE(""https://docs.google.com/spreadsheets/d/11923uPwbBZFjjGgGUA6NLw09EwE0CqkOc4q9oUmW1yo/edit?usp=sharing"",""แม่ฮ่องสอน!J10"")"),0)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IFERROR(__xludf.DUMMYFUNCTION("IMPORTRANGE(""https://docs.google.com/spreadsheets/d/1Yj_ptqi66GCucihVvJfMjLAmec39IyEx_6qawtMGysU/edit?usp=sharing"",""สบก!AI31"")"),0)</f>
        <v>0</v>
      </c>
      <c r="N70" s="168">
        <f ca="1">IFERROR(__xludf.DUMMYFUNCTION("IMPORTRANGE(""https://docs.google.com/spreadsheets/d/1Yj_ptqi66GCucihVvJfMjLAmec39IyEx_6qawtMGysU/edit?usp=sharing"",""สบก!AJ31"")"),0)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IFERROR(__xludf.DUMMYFUNCTION("IMPORTRANGE(""https://docs.google.com/spreadsheets/d/1Yj_ptqi66GCucihVvJfMjLAmec39IyEx_6qawtMGysU/edit?usp=sharing"",""สบก!AE31"")"),0)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IFERROR(__xludf.DUMMYFUNCTION("IMPORTRANGE(""https://docs.google.com/spreadsheets/d/1Yj_ptqi66GCucihVvJfMjLAmec39IyEx_6qawtMGysU/edit?usp=sharing"",""สบก!AF31"")"),0)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IFERROR(__xludf.DUMMYFUNCTION("IMPORTRANGE(""https://docs.google.com/spreadsheets/d/1Yj_ptqi66GCucihVvJfMjLAmec39IyEx_6qawtMGysU/edit?usp=sharing"",""สบก!AG31"")"),0)</f>
        <v>0</v>
      </c>
      <c r="M74" s="50"/>
      <c r="N74" s="50">
        <f ca="1">IFERROR(__xludf.DUMMYFUNCTION("IMPORTRANGE(""https://docs.google.com/spreadsheets/d/1Yj_ptqi66GCucihVvJfMjLAmec39IyEx_6qawtMGysU/edit?usp=sharing"",""สบก!AK31"")"),0)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IFERROR(__xludf.DUMMYFUNCTION("IMPORTRANGE(""https://docs.google.com/spreadsheets/d/11923uPwbBZFjjGgGUA6NLw09EwE0CqkOc4q9oUmW1yo/edit?usp=sharing"",""แม่ฮ่องสอน!J16"")"),0)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IFERROR(__xludf.DUMMYFUNCTION("IMPORTRANGE(""https://docs.google.com/spreadsheets/d/11923uPwbBZFjjGgGUA6NLw09EwE0CqkOc4q9oUmW1yo/edit?usp=sharing"",""แม่ฮ่องสอน!J17"")"),0)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IFERROR(__xludf.DUMMYFUNCTION("IMPORTRANGE(""https://docs.google.com/spreadsheets/d/11923uPwbBZFjjGgGUA6NLw09EwE0CqkOc4q9oUmW1yo/edit?usp=sharing"",""แม่ฮ่องสอน!J18"")"),0)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IFERROR(__xludf.DUMMYFUNCTION("IMPORTRANGE(""https://docs.google.com/spreadsheets/d/11923uPwbBZFjjGgGUA6NLw09EwE0CqkOc4q9oUmW1yo/edit?usp=sharing"",""แม่ฮ่องสอน!J19"")"),0)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IFERROR(__xludf.DUMMYFUNCTION("IMPORTRANGE(""https://docs.google.com/spreadsheets/d/11923uPwbBZFjjGgGUA6NLw09EwE0CqkOc4q9oUmW1yo/edit?usp=sharing"",""แม่ฮ่องสอน!I20"")"),0)</f>
        <v>0</v>
      </c>
      <c r="J80" s="200">
        <f ca="1">IFERROR(__xludf.DUMMYFUNCTION("IMPORTRANGE(""https://docs.google.com/spreadsheets/d/11923uPwbBZFjjGgGUA6NLw09EwE0CqkOc4q9oUmW1yo/edit?usp=sharing"",""แม่ฮ่องสอน!J20"")"),0)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IFERROR(__xludf.DUMMYFUNCTION("IMPORTRANGE(""https://docs.google.com/spreadsheets/d/11923uPwbBZFjjGgGUA6NLw09EwE0CqkOc4q9oUmW1yo/edit?usp=sharing"",""แม่ฮ่องสอน!I21"")"),0)</f>
        <v>0</v>
      </c>
      <c r="J81" s="200">
        <f ca="1">IFERROR(__xludf.DUMMYFUNCTION("IMPORTRANGE(""https://docs.google.com/spreadsheets/d/11923uPwbBZFjjGgGUA6NLw09EwE0CqkOc4q9oUmW1yo/edit?usp=sharing"",""แม่ฮ่องสอน!J21"")"),0)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IFERROR(__xludf.DUMMYFUNCTION("IMPORTRANGE(""https://docs.google.com/spreadsheets/d/11923uPwbBZFjjGgGUA6NLw09EwE0CqkOc4q9oUmW1yo/edit?usp=sharing"",""แม่ฮ่องสอน!I22"")"),0)</f>
        <v>0</v>
      </c>
      <c r="J82" s="203">
        <f ca="1">IFERROR(__xludf.DUMMYFUNCTION("IMPORTRANGE(""https://docs.google.com/spreadsheets/d/11923uPwbBZFjjGgGUA6NLw09EwE0CqkOc4q9oUmW1yo/edit?usp=sharing"",""แม่ฮ่องสอน!J22"")"),0)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IFERROR(__xludf.DUMMYFUNCTION("IMPORTRANGE(""https://docs.google.com/spreadsheets/d/11923uPwbBZFjjGgGUA6NLw09EwE0CqkOc4q9oUmW1yo/edit?usp=sharing"",""แม่ฮ่องสอน!I23"")"),0)</f>
        <v>0</v>
      </c>
      <c r="J83" s="203">
        <f ca="1">IFERROR(__xludf.DUMMYFUNCTION("IMPORTRANGE(""https://docs.google.com/spreadsheets/d/11923uPwbBZFjjGgGUA6NLw09EwE0CqkOc4q9oUmW1yo/edit?usp=sharing"",""แม่ฮ่องสอน!J23"")"),0)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IFERROR(__xludf.DUMMYFUNCTION("IMPORTRANGE(""https://docs.google.com/spreadsheets/d/11923uPwbBZFjjGgGUA6NLw09EwE0CqkOc4q9oUmW1yo/edit?usp=sharing"",""แม่ฮ่องสอน!I24"")"),0)</f>
        <v>0</v>
      </c>
      <c r="J84" s="188">
        <f ca="1">IFERROR(__xludf.DUMMYFUNCTION("IMPORTRANGE(""https://docs.google.com/spreadsheets/d/11923uPwbBZFjjGgGUA6NLw09EwE0CqkOc4q9oUmW1yo/edit?usp=sharing"",""แม่ฮ่องสอน!J24"")"),0)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IFERROR(__xludf.DUMMYFUNCTION("IMPORTRANGE(""https://docs.google.com/spreadsheets/d/11923uPwbBZFjjGgGUA6NLw09EwE0CqkOc4q9oUmW1yo/edit?usp=sharing"",""แม่ฮ่องสอน!I25"")"),0)</f>
        <v>0</v>
      </c>
      <c r="J85" s="188">
        <f ca="1">IFERROR(__xludf.DUMMYFUNCTION("IMPORTRANGE(""https://docs.google.com/spreadsheets/d/11923uPwbBZFjjGgGUA6NLw09EwE0CqkOc4q9oUmW1yo/edit?usp=sharing"",""แม่ฮ่องสอน!J25"")"),0)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IFERROR(__xludf.DUMMYFUNCTION("IMPORTRANGE(""https://docs.google.com/spreadsheets/d/11923uPwbBZFjjGgGUA6NLw09EwE0CqkOc4q9oUmW1yo/edit?usp=sharing"",""แม่ฮ่องสอน!I26"")"),0)</f>
        <v>0</v>
      </c>
      <c r="J86" s="203">
        <f ca="1">IFERROR(__xludf.DUMMYFUNCTION("IMPORTRANGE(""https://docs.google.com/spreadsheets/d/11923uPwbBZFjjGgGUA6NLw09EwE0CqkOc4q9oUmW1yo/edit?usp=sharing"",""แม่ฮ่องสอน!J26"")"),0)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IFERROR(__xludf.DUMMYFUNCTION("IMPORTRANGE(""https://docs.google.com/spreadsheets/d/11923uPwbBZFjjGgGUA6NLw09EwE0CqkOc4q9oUmW1yo/edit?usp=sharing"",""แม่ฮ่องสอน!I27"")"),0)</f>
        <v>0</v>
      </c>
      <c r="J87" s="203">
        <f ca="1">IFERROR(__xludf.DUMMYFUNCTION("IMPORTRANGE(""https://docs.google.com/spreadsheets/d/11923uPwbBZFjjGgGUA6NLw09EwE0CqkOc4q9oUmW1yo/edit?usp=sharing"",""แม่ฮ่องสอน!J27"")"),0)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IFERROR(__xludf.DUMMYFUNCTION("IMPORTRANGE(""https://docs.google.com/spreadsheets/d/11923uPwbBZFjjGgGUA6NLw09EwE0CqkOc4q9oUmW1yo/edit?usp=sharing"",""แม่ฮ่องสอน!I28"")"),0)</f>
        <v>0</v>
      </c>
      <c r="J88" s="203">
        <f ca="1">IFERROR(__xludf.DUMMYFUNCTION("IMPORTRANGE(""https://docs.google.com/spreadsheets/d/11923uPwbBZFjjGgGUA6NLw09EwE0CqkOc4q9oUmW1yo/edit?usp=sharing"",""แม่ฮ่องสอน!J28"")"),0)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IFERROR(__xludf.DUMMYFUNCTION("IMPORTRANGE(""https://docs.google.com/spreadsheets/d/11923uPwbBZFjjGgGUA6NLw09EwE0CqkOc4q9oUmW1yo/edit?usp=sharing"",""แม่ฮ่องสอน!J29"")"),0)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IFERROR(__xludf.DUMMYFUNCTION("IMPORTRANGE(""https://docs.google.com/spreadsheets/d/11923uPwbBZFjjGgGUA6NLw09EwE0CqkOc4q9oUmW1yo/edit?usp=sharing"",""แม่ฮ่องสอน!J30"")"),0)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IFERROR(__xludf.DUMMYFUNCTION("IMPORTRANGE(""https://docs.google.com/spreadsheets/d/11923uPwbBZFjjGgGUA6NLw09EwE0CqkOc4q9oUmW1yo/edit?usp=sharing"",""แม่ฮ่องสอน!I32"")"),0)</f>
        <v>0</v>
      </c>
      <c r="J92" s="142">
        <f ca="1">IFERROR(__xludf.DUMMYFUNCTION("IMPORTRANGE(""https://docs.google.com/spreadsheets/d/11923uPwbBZFjjGgGUA6NLw09EwE0CqkOc4q9oUmW1yo/edit?usp=sharing"",""แม่ฮ่องสอน!J32"")"),0)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IFERROR(__xludf.DUMMYFUNCTION("IMPORTRANGE(""https://docs.google.com/spreadsheets/d/11923uPwbBZFjjGgGUA6NLw09EwE0CqkOc4q9oUmW1yo/edit?usp=sharing"",""แม่ฮ่องสอน!I33"")"),0)</f>
        <v>0</v>
      </c>
      <c r="J93" s="142">
        <f ca="1">IFERROR(__xludf.DUMMYFUNCTION("IMPORTRANGE(""https://docs.google.com/spreadsheets/d/11923uPwbBZFjjGgGUA6NLw09EwE0CqkOc4q9oUmW1yo/edit?usp=sharing"",""แม่ฮ่องสอน!J33"")"),0)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IFERROR(__xludf.DUMMYFUNCTION("IMPORTRANGE(""https://docs.google.com/spreadsheets/d/1Yj_ptqi66GCucihVvJfMjLAmec39IyEx_6qawtMGysU/edit?usp=sharing"",""สบก!AR31"")"),0)</f>
        <v>0</v>
      </c>
      <c r="N98" s="168">
        <f ca="1">IFERROR(__xludf.DUMMYFUNCTION("IMPORTRANGE(""https://docs.google.com/spreadsheets/d/1Yj_ptqi66GCucihVvJfMjLAmec39IyEx_6qawtMGysU/edit?usp=sharing"",""สบก!AS31"")"),0)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IFERROR(__xludf.DUMMYFUNCTION("IMPORTRANGE(""https://docs.google.com/spreadsheets/d/1Yj_ptqi66GCucihVvJfMjLAmec39IyEx_6qawtMGysU/edit?usp=sharing"",""สบก!AN31"")"),0)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IFERROR(__xludf.DUMMYFUNCTION("IMPORTRANGE(""https://docs.google.com/spreadsheets/d/1Yj_ptqi66GCucihVvJfMjLAmec39IyEx_6qawtMGysU/edit?usp=sharing"",""สบก!AO31"")"),0)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IFERROR(__xludf.DUMMYFUNCTION("IMPORTRANGE(""https://docs.google.com/spreadsheets/d/1Yj_ptqi66GCucihVvJfMjLAmec39IyEx_6qawtMGysU/edit?usp=sharing"",""สบก!AP31"")"),0)</f>
        <v>0</v>
      </c>
      <c r="M102" s="50"/>
      <c r="N102" s="50">
        <f ca="1">IFERROR(__xludf.DUMMYFUNCTION("IMPORTRANGE(""https://docs.google.com/spreadsheets/d/1Yj_ptqi66GCucihVvJfMjLAmec39IyEx_6qawtMGysU/edit?usp=sharing"",""สบก!AT31"")"),0)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IFERROR(__xludf.DUMMYFUNCTION("IMPORTRANGE(""https://docs.google.com/spreadsheets/d/11923uPwbBZFjjGgGUA6NLw09EwE0CqkOc4q9oUmW1yo/edit?usp=sharing"",""แม่ฮ่องสอน!J39"")"),0)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IFERROR(__xludf.DUMMYFUNCTION("IMPORTRANGE(""https://docs.google.com/spreadsheets/d/11923uPwbBZFjjGgGUA6NLw09EwE0CqkOc4q9oUmW1yo/edit?usp=sharing"",""แม่ฮ่องสอน!J40"")"),0)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IFERROR(__xludf.DUMMYFUNCTION("IMPORTRANGE(""https://docs.google.com/spreadsheets/d/11923uPwbBZFjjGgGUA6NLw09EwE0CqkOc4q9oUmW1yo/edit?usp=sharing"",""แม่ฮ่องสอน!J41"")"),0)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IFERROR(__xludf.DUMMYFUNCTION("IMPORTRANGE(""https://docs.google.com/spreadsheets/d/11923uPwbBZFjjGgGUA6NLw09EwE0CqkOc4q9oUmW1yo/edit?usp=sharing"",""แม่ฮ่องสอน!J42"")"),0)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IFERROR(__xludf.DUMMYFUNCTION("IMPORTRANGE(""https://docs.google.com/spreadsheets/d/11923uPwbBZFjjGgGUA6NLw09EwE0CqkOc4q9oUmW1yo/edit?usp=sharing"",""แม่ฮ่องสอน!I43"")"),0)</f>
        <v>0</v>
      </c>
      <c r="J108" s="203">
        <f ca="1">IFERROR(__xludf.DUMMYFUNCTION("IMPORTRANGE(""https://docs.google.com/spreadsheets/d/11923uPwbBZFjjGgGUA6NLw09EwE0CqkOc4q9oUmW1yo/edit?usp=sharing"",""แม่ฮ่องสอน!J43"")"),0)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IFERROR(__xludf.DUMMYFUNCTION("IMPORTRANGE(""https://docs.google.com/spreadsheets/d/11923uPwbBZFjjGgGUA6NLw09EwE0CqkOc4q9oUmW1yo/edit?usp=sharing"",""แม่ฮ่องสอน!I44"")"),0)</f>
        <v>0</v>
      </c>
      <c r="J109" s="203">
        <f ca="1">IFERROR(__xludf.DUMMYFUNCTION("IMPORTRANGE(""https://docs.google.com/spreadsheets/d/11923uPwbBZFjjGgGUA6NLw09EwE0CqkOc4q9oUmW1yo/edit?usp=sharing"",""แม่ฮ่องสอน!J44"")"),0)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IFERROR(__xludf.DUMMYFUNCTION("IMPORTRANGE(""https://docs.google.com/spreadsheets/d/11923uPwbBZFjjGgGUA6NLw09EwE0CqkOc4q9oUmW1yo/edit?usp=sharing"",""แม่ฮ่องสอน!I45"")"),0)</f>
        <v>0</v>
      </c>
      <c r="J110" s="203">
        <f ca="1">IFERROR(__xludf.DUMMYFUNCTION("IMPORTRANGE(""https://docs.google.com/spreadsheets/d/11923uPwbBZFjjGgGUA6NLw09EwE0CqkOc4q9oUmW1yo/edit?usp=sharing"",""แม่ฮ่องสอน!J45"")"),0)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IFERROR(__xludf.DUMMYFUNCTION("IMPORTRANGE(""https://docs.google.com/spreadsheets/d/11923uPwbBZFjjGgGUA6NLw09EwE0CqkOc4q9oUmW1yo/edit?usp=sharing"",""แม่ฮ่องสอน!I46"")"),0)</f>
        <v>0</v>
      </c>
      <c r="J111" s="203">
        <f ca="1">IFERROR(__xludf.DUMMYFUNCTION("IMPORTRANGE(""https://docs.google.com/spreadsheets/d/11923uPwbBZFjjGgGUA6NLw09EwE0CqkOc4q9oUmW1yo/edit?usp=sharing"",""แม่ฮ่องสอน!J46"")"),0)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IFERROR(__xludf.DUMMYFUNCTION("IMPORTRANGE(""https://docs.google.com/spreadsheets/d/11923uPwbBZFjjGgGUA6NLw09EwE0CqkOc4q9oUmW1yo/edit?usp=sharing"",""แม่ฮ่องสอน!I47"")"),0)</f>
        <v>0</v>
      </c>
      <c r="J112" s="203">
        <f ca="1">IFERROR(__xludf.DUMMYFUNCTION("IMPORTRANGE(""https://docs.google.com/spreadsheets/d/11923uPwbBZFjjGgGUA6NLw09EwE0CqkOc4q9oUmW1yo/edit?usp=sharing"",""แม่ฮ่องสอน!J47"")"),0)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IFERROR(__xludf.DUMMYFUNCTION("IMPORTRANGE(""https://docs.google.com/spreadsheets/d/11923uPwbBZFjjGgGUA6NLw09EwE0CqkOc4q9oUmW1yo/edit?usp=sharing"",""แม่ฮ่องสอน!I48"")"),0)</f>
        <v>0</v>
      </c>
      <c r="J113" s="203">
        <f ca="1">IFERROR(__xludf.DUMMYFUNCTION("IMPORTRANGE(""https://docs.google.com/spreadsheets/d/11923uPwbBZFjjGgGUA6NLw09EwE0CqkOc4q9oUmW1yo/edit?usp=sharing"",""แม่ฮ่องสอน!J48"")"),0)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IFERROR(__xludf.DUMMYFUNCTION("IMPORTRANGE(""https://docs.google.com/spreadsheets/d/11923uPwbBZFjjGgGUA6NLw09EwE0CqkOc4q9oUmW1yo/edit?usp=sharing"",""แม่ฮ่องสอน!J49"")"),0)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IFERROR(__xludf.DUMMYFUNCTION("IMPORTRANGE(""https://docs.google.com/spreadsheets/d/11923uPwbBZFjjGgGUA6NLw09EwE0CqkOc4q9oUmW1yo/edit?usp=sharing"",""แม่ฮ่องสอน!J50"")"),0)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IFERROR(__xludf.DUMMYFUNCTION("IMPORTRANGE(""https://docs.google.com/spreadsheets/d/11923uPwbBZFjjGgGUA6NLw09EwE0CqkOc4q9oUmW1yo/edit?usp=sharing"",""แม่ฮ่องสอน!I52"")"),20)</f>
        <v>20</v>
      </c>
      <c r="J117" s="142">
        <f ca="1">IFERROR(__xludf.DUMMYFUNCTION("IMPORTRANGE(""https://docs.google.com/spreadsheets/d/11923uPwbBZFjjGgGUA6NLw09EwE0CqkOc4q9oUmW1yo/edit?usp=sharing"",""แม่ฮ่องสอน!J52"")"),20)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60240</v>
      </c>
      <c r="O118" s="151">
        <f t="shared" ref="O118:O120" ca="1" si="59">IF(L118&gt;0,N118*100/L118,0)</f>
        <v>73.071324599708873</v>
      </c>
      <c r="P118" s="151">
        <f t="shared" ref="P118:P120" ca="1" si="60">IF(M118&gt;0,N118*100/M118,0)</f>
        <v>73.071324599708873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60240</v>
      </c>
      <c r="O120" s="156">
        <f t="shared" ca="1" si="59"/>
        <v>73.071324599708873</v>
      </c>
      <c r="P120" s="156">
        <f t="shared" ca="1" si="60"/>
        <v>73.071324599708873</v>
      </c>
    </row>
    <row r="121" spans="1:16" ht="21.75" customHeight="1" x14ac:dyDescent="0.45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IFERROR(__xludf.DUMMYFUNCTION("IMPORTRANGE(""https://docs.google.com/spreadsheets/d/1Yj_ptqi66GCucihVvJfMjLAmec39IyEx_6qawtMGysU/edit?usp=sharing"",""สบก!BA31"")"),82440)</f>
        <v>82440</v>
      </c>
      <c r="N122" s="168">
        <f ca="1">IFERROR(__xludf.DUMMYFUNCTION("IMPORTRANGE(""https://docs.google.com/spreadsheets/d/1Yj_ptqi66GCucihVvJfMjLAmec39IyEx_6qawtMGysU/edit?usp=sharing"",""สบก!BB31"")"),60240)</f>
        <v>60240</v>
      </c>
      <c r="O122" s="168">
        <f ca="1">IF(L122&gt;0,N122*100/L122,0)</f>
        <v>73.071324599708873</v>
      </c>
      <c r="P122" s="168">
        <f ca="1">IF(M122&gt;0,N122*100/M122,0)</f>
        <v>73.071324599708873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IFERROR(__xludf.DUMMYFUNCTION("IMPORTRANGE(""https://docs.google.com/spreadsheets/d/1Yj_ptqi66GCucihVvJfMjLAmec39IyEx_6qawtMGysU/edit?usp=sharing"",""สบก!AW31"")"),0)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IFERROR(__xludf.DUMMYFUNCTION("IMPORTRANGE(""https://docs.google.com/spreadsheets/d/1Yj_ptqi66GCucihVvJfMjLAmec39IyEx_6qawtMGysU/edit?usp=sharing"",""สบก!AX31"")"),82440)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IFERROR(__xludf.DUMMYFUNCTION("IMPORTRANGE(""https://docs.google.com/spreadsheets/d/1Yj_ptqi66GCucihVvJfMjLAmec39IyEx_6qawtMGysU/edit?usp=sharing"",""สบก!AY31"")"),0)</f>
        <v>0</v>
      </c>
      <c r="M126" s="50"/>
      <c r="N126" s="50">
        <f ca="1">IFERROR(__xludf.DUMMYFUNCTION("IMPORTRANGE(""https://docs.google.com/spreadsheets/d/1Yj_ptqi66GCucihVvJfMjLAmec39IyEx_6qawtMGysU/edit?usp=sharing"",""สบก!BC31"")"),0)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283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IFERROR(__xludf.DUMMYFUNCTION("IMPORTRANGE(""https://docs.google.com/spreadsheets/d/11923uPwbBZFjjGgGUA6NLw09EwE0CqkOc4q9oUmW1yo/edit?usp=sharing"",""แม่ฮ่องสอน!J58"")"),0)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IFERROR(__xludf.DUMMYFUNCTION("IMPORTRANGE(""https://docs.google.com/spreadsheets/d/11923uPwbBZFjjGgGUA6NLw09EwE0CqkOc4q9oUmW1yo/edit?usp=sharing"",""แม่ฮ่องสอน!J59"")"),1)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IFERROR(__xludf.DUMMYFUNCTION("IMPORTRANGE(""https://docs.google.com/spreadsheets/d/11923uPwbBZFjjGgGUA6NLw09EwE0CqkOc4q9oUmW1yo/edit?usp=sharing"",""แม่ฮ่องสอน!J60"")"),1)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IFERROR(__xludf.DUMMYFUNCTION("IMPORTRANGE(""https://docs.google.com/spreadsheets/d/11923uPwbBZFjjGgGUA6NLw09EwE0CqkOc4q9oUmW1yo/edit?usp=sharing"",""แม่ฮ่องสอน!J61"")"),1)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IFERROR(__xludf.DUMMYFUNCTION("IMPORTRANGE(""https://docs.google.com/spreadsheets/d/11923uPwbBZFjjGgGUA6NLw09EwE0CqkOc4q9oUmW1yo/edit?usp=sharing"",""แม่ฮ่องสอน!I62"")"),20)</f>
        <v>20</v>
      </c>
      <c r="J132" s="203">
        <f ca="1">IFERROR(__xludf.DUMMYFUNCTION("IMPORTRANGE(""https://docs.google.com/spreadsheets/d/11923uPwbBZFjjGgGUA6NLw09EwE0CqkOc4q9oUmW1yo/edit?usp=sharing"",""แม่ฮ่องสอน!J62"")"),20)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IFERROR(__xludf.DUMMYFUNCTION("IMPORTRANGE(""https://docs.google.com/spreadsheets/d/11923uPwbBZFjjGgGUA6NLw09EwE0CqkOc4q9oUmW1yo/edit?usp=sharing"",""แม่ฮ่องสอน!I63"")"),20)</f>
        <v>20</v>
      </c>
      <c r="J133" s="203">
        <f ca="1">IFERROR(__xludf.DUMMYFUNCTION("IMPORTRANGE(""https://docs.google.com/spreadsheets/d/11923uPwbBZFjjGgGUA6NLw09EwE0CqkOc4q9oUmW1yo/edit?usp=sharing"",""แม่ฮ่องสอน!J63"")"),20)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IFERROR(__xludf.DUMMYFUNCTION("IMPORTRANGE(""https://docs.google.com/spreadsheets/d/11923uPwbBZFjjGgGUA6NLw09EwE0CqkOc4q9oUmW1yo/edit?usp=sharing"",""แม่ฮ่องสอน!J64"")"),0)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IFERROR(__xludf.DUMMYFUNCTION("IMPORTRANGE(""https://docs.google.com/spreadsheets/d/11923uPwbBZFjjGgGUA6NLw09EwE0CqkOc4q9oUmW1yo/edit?usp=sharing"",""แม่ฮ่องสอน!J65"")"),0)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IFERROR(__xludf.DUMMYFUNCTION("IMPORTRANGE(""https://docs.google.com/spreadsheets/d/11923uPwbBZFjjGgGUA6NLw09EwE0CqkOc4q9oUmW1yo/edit?usp=sharing"",""แม่ฮ่องสอน!I68"")"),0)</f>
        <v>0</v>
      </c>
      <c r="J138" s="267">
        <f ca="1">IFERROR(__xludf.DUMMYFUNCTION("IMPORTRANGE(""https://docs.google.com/spreadsheets/d/11923uPwbBZFjjGgGUA6NLw09EwE0CqkOc4q9oUmW1yo/edit?usp=sharing"",""แม่ฮ่องสอน!J68"")"),0)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69500</v>
      </c>
      <c r="M140" s="152">
        <f t="shared" ca="1" si="64"/>
        <v>87725</v>
      </c>
      <c r="N140" s="152">
        <f t="shared" ca="1" si="64"/>
        <v>42045</v>
      </c>
      <c r="O140" s="151">
        <f t="shared" ref="O140:O142" ca="1" si="65">IF(L140&gt;0,N140*100/L140,0)</f>
        <v>60.49640287769784</v>
      </c>
      <c r="P140" s="151">
        <f t="shared" ref="P140:P142" ca="1" si="66">IF(M140&gt;0,N140*100/M140,0)</f>
        <v>47.928184667996582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69500</v>
      </c>
      <c r="M142" s="88">
        <f t="shared" ca="1" si="68"/>
        <v>87725</v>
      </c>
      <c r="N142" s="88">
        <f t="shared" ca="1" si="68"/>
        <v>42045</v>
      </c>
      <c r="O142" s="156">
        <f t="shared" ca="1" si="65"/>
        <v>60.49640287769784</v>
      </c>
      <c r="P142" s="156">
        <f t="shared" ca="1" si="66"/>
        <v>47.928184667996582</v>
      </c>
    </row>
    <row r="143" spans="1:16" ht="21.75" customHeight="1" x14ac:dyDescent="0.45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69500</v>
      </c>
      <c r="M144" s="167">
        <f ca="1">IFERROR(__xludf.DUMMYFUNCTION("IMPORTRANGE(""https://docs.google.com/spreadsheets/d/1Yj_ptqi66GCucihVvJfMjLAmec39IyEx_6qawtMGysU/edit?usp=sharing"",""สบก!BJ31"")"),87725)</f>
        <v>87725</v>
      </c>
      <c r="N144" s="168">
        <f ca="1">IFERROR(__xludf.DUMMYFUNCTION("IMPORTRANGE(""https://docs.google.com/spreadsheets/d/1Yj_ptqi66GCucihVvJfMjLAmec39IyEx_6qawtMGysU/edit?usp=sharing"",""สบก!BK31"")"),42045)</f>
        <v>42045</v>
      </c>
      <c r="O144" s="168">
        <f ca="1">IF(L144&gt;0,N144*100/L144,0)</f>
        <v>60.49640287769784</v>
      </c>
      <c r="P144" s="168">
        <f ca="1">IF(M144&gt;0,N144*100/M144,0)</f>
        <v>47.928184667996582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IFERROR(__xludf.DUMMYFUNCTION("IMPORTRANGE(""https://docs.google.com/spreadsheets/d/1Yj_ptqi66GCucihVvJfMjLAmec39IyEx_6qawtMGysU/edit?usp=sharing"",""สบก!BF31"")"),0)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IFERROR(__xludf.DUMMYFUNCTION("IMPORTRANGE(""https://docs.google.com/spreadsheets/d/1Yj_ptqi66GCucihVvJfMjLAmec39IyEx_6qawtMGysU/edit?usp=sharing"",""สบก!BG31"")"),69500)</f>
        <v>69500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IFERROR(__xludf.DUMMYFUNCTION("IMPORTRANGE(""https://docs.google.com/spreadsheets/d/1Yj_ptqi66GCucihVvJfMjLAmec39IyEx_6qawtMGysU/edit?usp=sharing"",""สบก!BH31"")"),0)</f>
        <v>0</v>
      </c>
      <c r="M148" s="50"/>
      <c r="N148" s="50">
        <f ca="1">IFERROR(__xludf.DUMMYFUNCTION("IMPORTRANGE(""https://docs.google.com/spreadsheets/d/1Yj_ptqi66GCucihVvJfMjLAmec39IyEx_6qawtMGysU/edit?usp=sharing"",""สบก!BL31"")"),0)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IFERROR(__xludf.DUMMYFUNCTION("IMPORTRANGE(""https://docs.google.com/spreadsheets/d/11923uPwbBZFjjGgGUA6NLw09EwE0CqkOc4q9oUmW1yo/edit?usp=sharing"",""แม่ฮ่องสอน!I74"")"),4)</f>
        <v>4</v>
      </c>
      <c r="J149" s="275">
        <f ca="1">IFERROR(__xludf.DUMMYFUNCTION("IMPORTRANGE(""https://docs.google.com/spreadsheets/d/11923uPwbBZFjjGgGUA6NLw09EwE0CqkOc4q9oUmW1yo/edit?usp=sharing"",""แม่ฮ่องสอน!J74"")"),3)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IFERROR(__xludf.DUMMYFUNCTION("IMPORTRANGE(""https://docs.google.com/spreadsheets/d/11923uPwbBZFjjGgGUA6NLw09EwE0CqkOc4q9oUmW1yo/edit?usp=sharing"",""แม่ฮ่องสอน!J79"")"),0)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IFERROR(__xludf.DUMMYFUNCTION("IMPORTRANGE(""https://docs.google.com/spreadsheets/d/11923uPwbBZFjjGgGUA6NLw09EwE0CqkOc4q9oUmW1yo/edit?usp=sharing"",""แม่ฮ่องสอน!J80"")"),1)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IFERROR(__xludf.DUMMYFUNCTION("IMPORTRANGE(""https://docs.google.com/spreadsheets/d/11923uPwbBZFjjGgGUA6NLw09EwE0CqkOc4q9oUmW1yo/edit?usp=sharing"",""แม่ฮ่องสอน!J81"")"),1)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IFERROR(__xludf.DUMMYFUNCTION("IMPORTRANGE(""https://docs.google.com/spreadsheets/d/11923uPwbBZFjjGgGUA6NLw09EwE0CqkOc4q9oUmW1yo/edit?usp=sharing"",""แม่ฮ่องสอน!J82"")"),1)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IFERROR(__xludf.DUMMYFUNCTION("IMPORTRANGE(""https://docs.google.com/spreadsheets/d/11923uPwbBZFjjGgGUA6NLw09EwE0CqkOc4q9oUmW1yo/edit?usp=sharing"",""แม่ฮ่องสอน!I83"")"),4)</f>
        <v>4</v>
      </c>
      <c r="J158" s="188">
        <f ca="1">IFERROR(__xludf.DUMMYFUNCTION("IMPORTRANGE(""https://docs.google.com/spreadsheets/d/11923uPwbBZFjjGgGUA6NLw09EwE0CqkOc4q9oUmW1yo/edit?usp=sharing"",""แม่ฮ่องสอน!J83"")"),3)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IFERROR(__xludf.DUMMYFUNCTION("IMPORTRANGE(""https://docs.google.com/spreadsheets/d/11923uPwbBZFjjGgGUA6NLw09EwE0CqkOc4q9oUmW1yo/edit?usp=sharing"",""แม่ฮ่องสอน!J84"")"),82)</f>
        <v>82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IFERROR(__xludf.DUMMYFUNCTION("IMPORTRANGE(""https://docs.google.com/spreadsheets/d/11923uPwbBZFjjGgGUA6NLw09EwE0CqkOc4q9oUmW1yo/edit?usp=sharing"",""แม่ฮ่องสอน!J85"")"),82)</f>
        <v>82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IFERROR(__xludf.DUMMYFUNCTION("IMPORTRANGE(""https://docs.google.com/spreadsheets/d/11923uPwbBZFjjGgGUA6NLw09EwE0CqkOc4q9oUmW1yo/edit?usp=sharing"",""แม่ฮ่องสอน!J86"")"),0)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IFERROR(__xludf.DUMMYFUNCTION("IMPORTRANGE(""https://docs.google.com/spreadsheets/d/11923uPwbBZFjjGgGUA6NLw09EwE0CqkOc4q9oUmW1yo/edit?usp=sharing"",""แม่ฮ่องสอน!J87"")"),0)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IFERROR(__xludf.DUMMYFUNCTION("IMPORTRANGE(""https://docs.google.com/spreadsheets/d/11923uPwbBZFjjGgGUA6NLw09EwE0CqkOc4q9oUmW1yo/edit?usp=sharing"",""แม่ฮ่องสอน!J88"")"),0)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IFERROR(__xludf.DUMMYFUNCTION("IMPORTRANGE(""https://docs.google.com/spreadsheets/d/11923uPwbBZFjjGgGUA6NLw09EwE0CqkOc4q9oUmW1yo/edit?usp=sharing"",""แม่ฮ่องสอน!I89"")"),2)</f>
        <v>2</v>
      </c>
      <c r="J164" s="284">
        <f ca="1">IFERROR(__xludf.DUMMYFUNCTION("IMPORTRANGE(""https://docs.google.com/spreadsheets/d/11923uPwbBZFjjGgGUA6NLw09EwE0CqkOc4q9oUmW1yo/edit?usp=sharing"",""แม่ฮ่องสอน!J89"")"),2)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IFERROR(__xludf.DUMMYFUNCTION("IMPORTRANGE(""https://docs.google.com/spreadsheets/d/11923uPwbBZFjjGgGUA6NLw09EwE0CqkOc4q9oUmW1yo/edit?usp=sharing"",""แม่ฮ่องสอน!J94"")"),0)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IFERROR(__xludf.DUMMYFUNCTION("IMPORTRANGE(""https://docs.google.com/spreadsheets/d/11923uPwbBZFjjGgGUA6NLw09EwE0CqkOc4q9oUmW1yo/edit?usp=sharing"",""แม่ฮ่องสอน!J95"")"),1)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IFERROR(__xludf.DUMMYFUNCTION("IMPORTRANGE(""https://docs.google.com/spreadsheets/d/11923uPwbBZFjjGgGUA6NLw09EwE0CqkOc4q9oUmW1yo/edit?usp=sharing"",""แม่ฮ่องสอน!J96"")"),1)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IFERROR(__xludf.DUMMYFUNCTION("IMPORTRANGE(""https://docs.google.com/spreadsheets/d/11923uPwbBZFjjGgGUA6NLw09EwE0CqkOc4q9oUmW1yo/edit?usp=sharing"",""แม่ฮ่องสอน!J97"")"),1)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IFERROR(__xludf.DUMMYFUNCTION("IMPORTRANGE(""https://docs.google.com/spreadsheets/d/11923uPwbBZFjjGgGUA6NLw09EwE0CqkOc4q9oUmW1yo/edit?usp=sharing"",""แม่ฮ่องสอน!I98"")"),2)</f>
        <v>2</v>
      </c>
      <c r="J173" s="188">
        <f ca="1">IFERROR(__xludf.DUMMYFUNCTION("IMPORTRANGE(""https://docs.google.com/spreadsheets/d/11923uPwbBZFjjGgGUA6NLw09EwE0CqkOc4q9oUmW1yo/edit?usp=sharing"",""แม่ฮ่องสอน!J98"")"),2)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IFERROR(__xludf.DUMMYFUNCTION("IMPORTRANGE(""https://docs.google.com/spreadsheets/d/11923uPwbBZFjjGgGUA6NLw09EwE0CqkOc4q9oUmW1yo/edit?usp=sharing"",""แม่ฮ่องสอน!J99"")"),0)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IFERROR(__xludf.DUMMYFUNCTION("IMPORTRANGE(""https://docs.google.com/spreadsheets/d/11923uPwbBZFjjGgGUA6NLw09EwE0CqkOc4q9oUmW1yo/edit?usp=sharing"",""แม่ฮ่องสอน!J100"")"),0)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IFERROR(__xludf.DUMMYFUNCTION("IMPORTRANGE(""https://docs.google.com/spreadsheets/d/11923uPwbBZFjjGgGUA6NLw09EwE0CqkOc4q9oUmW1yo/edit?usp=sharing"",""แม่ฮ่องสอน!I101"")"),0)</f>
        <v>0</v>
      </c>
      <c r="J176" s="284">
        <f ca="1">IFERROR(__xludf.DUMMYFUNCTION("IMPORTRANGE(""https://docs.google.com/spreadsheets/d/11923uPwbBZFjjGgGUA6NLw09EwE0CqkOc4q9oUmW1yo/edit?usp=sharing"",""แม่ฮ่องสอน!J101"")"),0)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IFERROR(__xludf.DUMMYFUNCTION("IMPORTRANGE(""https://docs.google.com/spreadsheets/d/11923uPwbBZFjjGgGUA6NLw09EwE0CqkOc4q9oUmW1yo/edit?usp=sharing"",""แม่ฮ่องสอน!J106"")"),0)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IFERROR(__xludf.DUMMYFUNCTION("IMPORTRANGE(""https://docs.google.com/spreadsheets/d/11923uPwbBZFjjGgGUA6NLw09EwE0CqkOc4q9oUmW1yo/edit?usp=sharing"",""แม่ฮ่องสอน!J107"")"),0)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IFERROR(__xludf.DUMMYFUNCTION("IMPORTRANGE(""https://docs.google.com/spreadsheets/d/11923uPwbBZFjjGgGUA6NLw09EwE0CqkOc4q9oUmW1yo/edit?usp=sharing"",""แม่ฮ่องสอน!J108"")"),0)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IFERROR(__xludf.DUMMYFUNCTION("IMPORTRANGE(""https://docs.google.com/spreadsheets/d/11923uPwbBZFjjGgGUA6NLw09EwE0CqkOc4q9oUmW1yo/edit?usp=sharing"",""แม่ฮ่องสอน!J109"")"),0)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IFERROR(__xludf.DUMMYFUNCTION("IMPORTRANGE(""https://docs.google.com/spreadsheets/d/11923uPwbBZFjjGgGUA6NLw09EwE0CqkOc4q9oUmW1yo/edit?usp=sharing"",""แม่ฮ่องสอน!I110"")"),0)</f>
        <v>0</v>
      </c>
      <c r="J185" s="203">
        <f ca="1">IFERROR(__xludf.DUMMYFUNCTION("IMPORTRANGE(""https://docs.google.com/spreadsheets/d/11923uPwbBZFjjGgGUA6NLw09EwE0CqkOc4q9oUmW1yo/edit?usp=sharing"",""แม่ฮ่องสอน!J110"")"),0)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IFERROR(__xludf.DUMMYFUNCTION("IMPORTRANGE(""https://docs.google.com/spreadsheets/d/11923uPwbBZFjjGgGUA6NLw09EwE0CqkOc4q9oUmW1yo/edit?usp=sharing"",""แม่ฮ่องสอน!I111"")"),0)</f>
        <v>0</v>
      </c>
      <c r="J186" s="203">
        <f ca="1">IFERROR(__xludf.DUMMYFUNCTION("IMPORTRANGE(""https://docs.google.com/spreadsheets/d/11923uPwbBZFjjGgGUA6NLw09EwE0CqkOc4q9oUmW1yo/edit?usp=sharing"",""แม่ฮ่องสอน!J111"")"),0)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IFERROR(__xludf.DUMMYFUNCTION("IMPORTRANGE(""https://docs.google.com/spreadsheets/d/11923uPwbBZFjjGgGUA6NLw09EwE0CqkOc4q9oUmW1yo/edit?usp=sharing"",""แม่ฮ่องสอน!J112"")"),0)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IFERROR(__xludf.DUMMYFUNCTION("IMPORTRANGE(""https://docs.google.com/spreadsheets/d/11923uPwbBZFjjGgGUA6NLw09EwE0CqkOc4q9oUmW1yo/edit?usp=sharing"",""แม่ฮ่องสอน!J113"")"),0)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IFERROR(__xludf.DUMMYFUNCTION("IMPORTRANGE(""https://docs.google.com/spreadsheets/d/11923uPwbBZFjjGgGUA6NLw09EwE0CqkOc4q9oUmW1yo/edit?usp=sharing"",""แม่ฮ่องสอน!I114"")"),100000)</f>
        <v>100000</v>
      </c>
      <c r="J189" s="284">
        <f ca="1">IFERROR(__xludf.DUMMYFUNCTION("IMPORTRANGE(""https://docs.google.com/spreadsheets/d/11923uPwbBZFjjGgGUA6NLw09EwE0CqkOc4q9oUmW1yo/edit?usp=sharing"",""แม่ฮ่องสอน!J114"")"),0)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IFERROR(__xludf.DUMMYFUNCTION("IMPORTRANGE(""https://docs.google.com/spreadsheets/d/11923uPwbBZFjjGgGUA6NLw09EwE0CqkOc4q9oUmW1yo/edit?usp=sharing"",""แม่ฮ่องสอน!J119"")"),0)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IFERROR(__xludf.DUMMYFUNCTION("IMPORTRANGE(""https://docs.google.com/spreadsheets/d/11923uPwbBZFjjGgGUA6NLw09EwE0CqkOc4q9oUmW1yo/edit?usp=sharing"",""แม่ฮ่องสอน!J120"")"),1)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IFERROR(__xludf.DUMMYFUNCTION("IMPORTRANGE(""https://docs.google.com/spreadsheets/d/11923uPwbBZFjjGgGUA6NLw09EwE0CqkOc4q9oUmW1yo/edit?usp=sharing"",""แม่ฮ่องสอน!J121"")"),1)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IFERROR(__xludf.DUMMYFUNCTION("IMPORTRANGE(""https://docs.google.com/spreadsheets/d/11923uPwbBZFjjGgGUA6NLw09EwE0CqkOc4q9oUmW1yo/edit?usp=sharing"",""แม่ฮ่องสอน!J122"")"),1)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IFERROR(__xludf.DUMMYFUNCTION("IMPORTRANGE(""https://docs.google.com/spreadsheets/d/11923uPwbBZFjjGgGUA6NLw09EwE0CqkOc4q9oUmW1yo/edit?usp=sharing"",""แม่ฮ่องสอน!I124"")"),100000)</f>
        <v>100000</v>
      </c>
      <c r="J199" s="188">
        <f ca="1">IFERROR(__xludf.DUMMYFUNCTION("IMPORTRANGE(""https://docs.google.com/spreadsheets/d/11923uPwbBZFjjGgGUA6NLw09EwE0CqkOc4q9oUmW1yo/edit?usp=sharing"",""แม่ฮ่องสอน!J124"")"),100000)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IFERROR(__xludf.DUMMYFUNCTION("IMPORTRANGE(""https://docs.google.com/spreadsheets/d/11923uPwbBZFjjGgGUA6NLw09EwE0CqkOc4q9oUmW1yo/edit?usp=sharing"",""แม่ฮ่องสอน!I125"")"),100000)</f>
        <v>100000</v>
      </c>
      <c r="J200" s="188">
        <f ca="1">IFERROR(__xludf.DUMMYFUNCTION("IMPORTRANGE(""https://docs.google.com/spreadsheets/d/11923uPwbBZFjjGgGUA6NLw09EwE0CqkOc4q9oUmW1yo/edit?usp=sharing"",""แม่ฮ่องสอน!J125"")"),0)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IFERROR(__xludf.DUMMYFUNCTION("IMPORTRANGE(""https://docs.google.com/spreadsheets/d/11923uPwbBZFjjGgGUA6NLw09EwE0CqkOc4q9oUmW1yo/edit?usp=sharing"",""แม่ฮ่องสอน!I126"")"),0)</f>
        <v>0</v>
      </c>
      <c r="J201" s="188">
        <f ca="1">IFERROR(__xludf.DUMMYFUNCTION("IMPORTRANGE(""https://docs.google.com/spreadsheets/d/11923uPwbBZFjjGgGUA6NLw09EwE0CqkOc4q9oUmW1yo/edit?usp=sharing"",""แม่ฮ่องสอน!J126"")"),0)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IFERROR(__xludf.DUMMYFUNCTION("IMPORTRANGE(""https://docs.google.com/spreadsheets/d/11923uPwbBZFjjGgGUA6NLw09EwE0CqkOc4q9oUmW1yo/edit?usp=sharing"",""แม่ฮ่องสอน!J127"")"),0)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IFERROR(__xludf.DUMMYFUNCTION("IMPORTRANGE(""https://docs.google.com/spreadsheets/d/11923uPwbBZFjjGgGUA6NLw09EwE0CqkOc4q9oUmW1yo/edit?usp=sharing"",""แม่ฮ่องสอน!J128"")"),0)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IFERROR(__xludf.DUMMYFUNCTION("IMPORTRANGE(""https://docs.google.com/spreadsheets/d/11923uPwbBZFjjGgGUA6NLw09EwE0CqkOc4q9oUmW1yo/edit?usp=sharing"",""แม่ฮ่องสอน!I129"")"),0)</f>
        <v>0</v>
      </c>
      <c r="J204" s="284">
        <f ca="1">IFERROR(__xludf.DUMMYFUNCTION("IMPORTRANGE(""https://docs.google.com/spreadsheets/d/11923uPwbBZFjjGgGUA6NLw09EwE0CqkOc4q9oUmW1yo/edit?usp=sharing"",""แม่ฮ่องสอน!J129"")"),0)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IFERROR(__xludf.DUMMYFUNCTION("IMPORTRANGE(""https://docs.google.com/spreadsheets/d/11923uPwbBZFjjGgGUA6NLw09EwE0CqkOc4q9oUmW1yo/edit?usp=sharing"",""แม่ฮ่องสอน!J134"")"),0)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IFERROR(__xludf.DUMMYFUNCTION("IMPORTRANGE(""https://docs.google.com/spreadsheets/d/11923uPwbBZFjjGgGUA6NLw09EwE0CqkOc4q9oUmW1yo/edit?usp=sharing"",""แม่ฮ่องสอน!J135"")"),0)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IFERROR(__xludf.DUMMYFUNCTION("IMPORTRANGE(""https://docs.google.com/spreadsheets/d/11923uPwbBZFjjGgGUA6NLw09EwE0CqkOc4q9oUmW1yo/edit?usp=sharing"",""แม่ฮ่องสอน!J136"")"),0)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IFERROR(__xludf.DUMMYFUNCTION("IMPORTRANGE(""https://docs.google.com/spreadsheets/d/11923uPwbBZFjjGgGUA6NLw09EwE0CqkOc4q9oUmW1yo/edit?usp=sharing"",""แม่ฮ่องสอน!J137"")"),0)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IFERROR(__xludf.DUMMYFUNCTION("IMPORTRANGE(""https://docs.google.com/spreadsheets/d/11923uPwbBZFjjGgGUA6NLw09EwE0CqkOc4q9oUmW1yo/edit?usp=sharing"",""แม่ฮ่องสอน!I138"")"),0)</f>
        <v>0</v>
      </c>
      <c r="J213" s="203">
        <f ca="1">IFERROR(__xludf.DUMMYFUNCTION("IMPORTRANGE(""https://docs.google.com/spreadsheets/d/11923uPwbBZFjjGgGUA6NLw09EwE0CqkOc4q9oUmW1yo/edit?usp=sharing"",""แม่ฮ่องสอน!J138"")"),0)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IFERROR(__xludf.DUMMYFUNCTION("IMPORTRANGE(""https://docs.google.com/spreadsheets/d/11923uPwbBZFjjGgGUA6NLw09EwE0CqkOc4q9oUmW1yo/edit?usp=sharing"",""แม่ฮ่องสอน!I140"")"),0)</f>
        <v>0</v>
      </c>
      <c r="J215" s="203">
        <f ca="1">IFERROR(__xludf.DUMMYFUNCTION("IMPORTRANGE(""https://docs.google.com/spreadsheets/d/11923uPwbBZFjjGgGUA6NLw09EwE0CqkOc4q9oUmW1yo/edit?usp=sharing"",""แม่ฮ่องสอน!J140"")"),0)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IFERROR(__xludf.DUMMYFUNCTION("IMPORTRANGE(""https://docs.google.com/spreadsheets/d/11923uPwbBZFjjGgGUA6NLw09EwE0CqkOc4q9oUmW1yo/edit?usp=sharing"",""แม่ฮ่องสอน!I141"")"),0)</f>
        <v>0</v>
      </c>
      <c r="J216" s="203">
        <f ca="1">IFERROR(__xludf.DUMMYFUNCTION("IMPORTRANGE(""https://docs.google.com/spreadsheets/d/11923uPwbBZFjjGgGUA6NLw09EwE0CqkOc4q9oUmW1yo/edit?usp=sharing"",""แม่ฮ่องสอน!J141"")"),0)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IFERROR(__xludf.DUMMYFUNCTION("IMPORTRANGE(""https://docs.google.com/spreadsheets/d/11923uPwbBZFjjGgGUA6NLw09EwE0CqkOc4q9oUmW1yo/edit?usp=sharing"",""แม่ฮ่องสอน!J142"")"),0)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IFERROR(__xludf.DUMMYFUNCTION("IMPORTRANGE(""https://docs.google.com/spreadsheets/d/11923uPwbBZFjjGgGUA6NLw09EwE0CqkOc4q9oUmW1yo/edit?usp=sharing"",""แม่ฮ่องสอน!J143"")"),0)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IFERROR(__xludf.DUMMYFUNCTION("IMPORTRANGE(""https://docs.google.com/spreadsheets/d/11923uPwbBZFjjGgGUA6NLw09EwE0CqkOc4q9oUmW1yo/edit?usp=sharing"",""แม่ฮ่องสอน!I144"")"),13)</f>
        <v>13</v>
      </c>
      <c r="J219" s="267">
        <f ca="1">IFERROR(__xludf.DUMMYFUNCTION("IMPORTRANGE(""https://docs.google.com/spreadsheets/d/11923uPwbBZFjjGgGUA6NLw09EwE0CqkOc4q9oUmW1yo/edit?usp=sharing"",""แม่ฮ่องสอน!J144"")"),13)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19295</v>
      </c>
      <c r="N222" s="88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IFERROR(__xludf.DUMMYFUNCTION("IMPORTRANGE(""https://docs.google.com/spreadsheets/d/1Yj_ptqi66GCucihVvJfMjLAmec39IyEx_6qawtMGysU/edit?usp=sharing"",""สบก!BS31"")"),19295)</f>
        <v>19295</v>
      </c>
      <c r="N224" s="168">
        <f ca="1">IFERROR(__xludf.DUMMYFUNCTION("IMPORTRANGE(""https://docs.google.com/spreadsheets/d/1Yj_ptqi66GCucihVvJfMjLAmec39IyEx_6qawtMGysU/edit?usp=sharing"",""สบก!BT31"")"),19295)</f>
        <v>19295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IFERROR(__xludf.DUMMYFUNCTION("IMPORTRANGE(""https://docs.google.com/spreadsheets/d/1Yj_ptqi66GCucihVvJfMjLAmec39IyEx_6qawtMGysU/edit?usp=sharing"",""สบก!BO31"")"),0)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IFERROR(__xludf.DUMMYFUNCTION("IMPORTRANGE(""https://docs.google.com/spreadsheets/d/1Yj_ptqi66GCucihVvJfMjLAmec39IyEx_6qawtMGysU/edit?usp=sharing"",""สบก!BP31"")"),19295)</f>
        <v>19295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IFERROR(__xludf.DUMMYFUNCTION("IMPORTRANGE(""https://docs.google.com/spreadsheets/d/1Yj_ptqi66GCucihVvJfMjLAmec39IyEx_6qawtMGysU/edit?usp=sharing"",""สบก!BQ31"")"),0)</f>
        <v>0</v>
      </c>
      <c r="M228" s="50"/>
      <c r="N228" s="50">
        <f ca="1">IFERROR(__xludf.DUMMYFUNCTION("IMPORTRANGE(""https://docs.google.com/spreadsheets/d/1Yj_ptqi66GCucihVvJfMjLAmec39IyEx_6qawtMGysU/edit?usp=sharing"",""สบก!BU31"")"),0)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IFERROR(__xludf.DUMMYFUNCTION("IMPORTRANGE(""https://docs.google.com/spreadsheets/d/11923uPwbBZFjjGgGUA6NLw09EwE0CqkOc4q9oUmW1yo/edit?usp=sharing"",""แม่ฮ่องสอน!I149"")"),13)</f>
        <v>13</v>
      </c>
      <c r="J229" s="267">
        <f ca="1">IFERROR(__xludf.DUMMYFUNCTION("IMPORTRANGE(""https://docs.google.com/spreadsheets/d/11923uPwbBZFjjGgGUA6NLw09EwE0CqkOc4q9oUmW1yo/edit?usp=sharing"",""แม่ฮ่องสอน!J149"")"),13)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IFERROR(__xludf.DUMMYFUNCTION("IMPORTRANGE(""https://docs.google.com/spreadsheets/d/11923uPwbBZFjjGgGUA6NLw09EwE0CqkOc4q9oUmW1yo/edit?usp=sharing"",""แม่ฮ่องสอน!J151"")"),0)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IFERROR(__xludf.DUMMYFUNCTION("IMPORTRANGE(""https://docs.google.com/spreadsheets/d/11923uPwbBZFjjGgGUA6NLw09EwE0CqkOc4q9oUmW1yo/edit?usp=sharing"",""แม่ฮ่องสอน!J152"")"),0)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IFERROR(__xludf.DUMMYFUNCTION("IMPORTRANGE(""https://docs.google.com/spreadsheets/d/11923uPwbBZFjjGgGUA6NLw09EwE0CqkOc4q9oUmW1yo/edit?usp=sharing"",""แม่ฮ่องสอน!J153"")"),0)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IFERROR(__xludf.DUMMYFUNCTION("IMPORTRANGE(""https://docs.google.com/spreadsheets/d/11923uPwbBZFjjGgGUA6NLw09EwE0CqkOc4q9oUmW1yo/edit?usp=sharing"",""แม่ฮ่องสอน!J154"")"),0)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IFERROR(__xludf.DUMMYFUNCTION("IMPORTRANGE(""https://docs.google.com/spreadsheets/d/11923uPwbBZFjjGgGUA6NLw09EwE0CqkOc4q9oUmW1yo/edit?usp=sharing"",""แม่ฮ่องสอน!I155"")"),13)</f>
        <v>13</v>
      </c>
      <c r="J235" s="188">
        <f ca="1">IFERROR(__xludf.DUMMYFUNCTION("IMPORTRANGE(""https://docs.google.com/spreadsheets/d/11923uPwbBZFjjGgGUA6NLw09EwE0CqkOc4q9oUmW1yo/edit?usp=sharing"",""แม่ฮ่องสอน!J155"")"),13)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IFERROR(__xludf.DUMMYFUNCTION("IMPORTRANGE(""https://docs.google.com/spreadsheets/d/11923uPwbBZFjjGgGUA6NLw09EwE0CqkOc4q9oUmW1yo/edit?usp=sharing"",""แม่ฮ่องสอน!J156"")"),1)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IFERROR(__xludf.DUMMYFUNCTION("IMPORTRANGE(""https://docs.google.com/spreadsheets/d/11923uPwbBZFjjGgGUA6NLw09EwE0CqkOc4q9oUmW1yo/edit?usp=sharing"",""แม่ฮ่องสอน!J157"")"),1)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IFERROR(__xludf.DUMMYFUNCTION("IMPORTRANGE(""https://docs.google.com/spreadsheets/d/11923uPwbBZFjjGgGUA6NLw09EwE0CqkOc4q9oUmW1yo/edit?usp=sharing"",""แม่ฮ่องสอน!I158"")"),0)</f>
        <v>0</v>
      </c>
      <c r="J238" s="267">
        <f ca="1">IFERROR(__xludf.DUMMYFUNCTION("IMPORTRANGE(""https://docs.google.com/spreadsheets/d/11923uPwbBZFjjGgGUA6NLw09EwE0CqkOc4q9oUmW1yo/edit?usp=sharing"",""แม่ฮ่องสอน!J158"")"),0)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IFERROR(__xludf.DUMMYFUNCTION("IMPORTRANGE(""https://docs.google.com/spreadsheets/d/11923uPwbBZFjjGgGUA6NLw09EwE0CqkOc4q9oUmW1yo/edit?usp=sharing"",""แม่ฮ่องสอน!J159"")"),"")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IFERROR(__xludf.DUMMYFUNCTION("IMPORTRANGE(""https://docs.google.com/spreadsheets/d/11923uPwbBZFjjGgGUA6NLw09EwE0CqkOc4q9oUmW1yo/edit?usp=sharing"",""แม่ฮ่องสอน!J161"")"),0)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IFERROR(__xludf.DUMMYFUNCTION("IMPORTRANGE(""https://docs.google.com/spreadsheets/d/11923uPwbBZFjjGgGUA6NLw09EwE0CqkOc4q9oUmW1yo/edit?usp=sharing"",""แม่ฮ่องสอน!J162"")"),0)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IFERROR(__xludf.DUMMYFUNCTION("IMPORTRANGE(""https://docs.google.com/spreadsheets/d/11923uPwbBZFjjGgGUA6NLw09EwE0CqkOc4q9oUmW1yo/edit?usp=sharing"",""แม่ฮ่องสอน!J163"")"),0)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IFERROR(__xludf.DUMMYFUNCTION("IMPORTRANGE(""https://docs.google.com/spreadsheets/d/11923uPwbBZFjjGgGUA6NLw09EwE0CqkOc4q9oUmW1yo/edit?usp=sharing"",""แม่ฮ่องสอน!I164"")"),0)</f>
        <v>0</v>
      </c>
      <c r="J244" s="187">
        <f ca="1">IFERROR(__xludf.DUMMYFUNCTION("IMPORTRANGE(""https://docs.google.com/spreadsheets/d/11923uPwbBZFjjGgGUA6NLw09EwE0CqkOc4q9oUmW1yo/edit?usp=sharing"",""แม่ฮ่องสอน!J164"")"),0)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IFERROR(__xludf.DUMMYFUNCTION("IMPORTRANGE(""https://docs.google.com/spreadsheets/d/11923uPwbBZFjjGgGUA6NLw09EwE0CqkOc4q9oUmW1yo/edit?usp=sharing"",""แม่ฮ่องสอน!J165"")"),0)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IFERROR(__xludf.DUMMYFUNCTION("IMPORTRANGE(""https://docs.google.com/spreadsheets/d/11923uPwbBZFjjGgGUA6NLw09EwE0CqkOc4q9oUmW1yo/edit?usp=sharing"",""แม่ฮ่องสอน!J166"")"),0)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IFERROR(__xludf.DUMMYFUNCTION("IMPORTRANGE(""https://docs.google.com/spreadsheets/d/11923uPwbBZFjjGgGUA6NLw09EwE0CqkOc4q9oUmW1yo/edit?usp=sharing"",""แม่ฮ่องสอน!I169"")"),0)</f>
        <v>0</v>
      </c>
      <c r="J249" s="316">
        <f ca="1">IFERROR(__xludf.DUMMYFUNCTION("IMPORTRANGE(""https://docs.google.com/spreadsheets/d/11923uPwbBZFjjGgGUA6NLw09EwE0CqkOc4q9oUmW1yo/edit?usp=sharing"",""แม่ฮ่องสอน!J169"")"),0)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IFERROR(__xludf.DUMMYFUNCTION("IMPORTRANGE(""https://docs.google.com/spreadsheets/d/1Yj_ptqi66GCucihVvJfMjLAmec39IyEx_6qawtMGysU/edit?usp=sharing"",""สบก!CB31"")"),0)</f>
        <v>0</v>
      </c>
      <c r="N254" s="168">
        <f ca="1">IFERROR(__xludf.DUMMYFUNCTION("IMPORTRANGE(""https://docs.google.com/spreadsheets/d/1Yj_ptqi66GCucihVvJfMjLAmec39IyEx_6qawtMGysU/edit?usp=sharing"",""สบก!CC31"")"),0)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IFERROR(__xludf.DUMMYFUNCTION("IMPORTRANGE(""https://docs.google.com/spreadsheets/d/1Yj_ptqi66GCucihVvJfMjLAmec39IyEx_6qawtMGysU/edit?usp=sharing"",""สบก!BX31"")"),0)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IFERROR(__xludf.DUMMYFUNCTION("IMPORTRANGE(""https://docs.google.com/spreadsheets/d/1Yj_ptqi66GCucihVvJfMjLAmec39IyEx_6qawtMGysU/edit?usp=sharing"",""สบก!BY31"")"),0)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IFERROR(__xludf.DUMMYFUNCTION("IMPORTRANGE(""https://docs.google.com/spreadsheets/d/1Yj_ptqi66GCucihVvJfMjLAmec39IyEx_6qawtMGysU/edit?usp=sharing"",""สบก!BZ31"")"),0)</f>
        <v>0</v>
      </c>
      <c r="M258" s="50"/>
      <c r="N258" s="50">
        <f ca="1">IFERROR(__xludf.DUMMYFUNCTION("IMPORTRANGE(""https://docs.google.com/spreadsheets/d/1Yj_ptqi66GCucihVvJfMjLAmec39IyEx_6qawtMGysU/edit?usp=sharing"",""สบก!CD31"")"),0)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IFERROR(__xludf.DUMMYFUNCTION("IMPORTRANGE(""https://docs.google.com/spreadsheets/d/11923uPwbBZFjjGgGUA6NLw09EwE0CqkOc4q9oUmW1yo/edit?usp=sharing"",""แม่ฮ่องสอน!J175"")"),0)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IFERROR(__xludf.DUMMYFUNCTION("IMPORTRANGE(""https://docs.google.com/spreadsheets/d/11923uPwbBZFjjGgGUA6NLw09EwE0CqkOc4q9oUmW1yo/edit?usp=sharing"",""แม่ฮ่องสอน!J176"")"),0)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IFERROR(__xludf.DUMMYFUNCTION("IMPORTRANGE(""https://docs.google.com/spreadsheets/d/11923uPwbBZFjjGgGUA6NLw09EwE0CqkOc4q9oUmW1yo/edit?usp=sharing"",""แม่ฮ่องสอน!J177"")"),0)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IFERROR(__xludf.DUMMYFUNCTION("IMPORTRANGE(""https://docs.google.com/spreadsheets/d/11923uPwbBZFjjGgGUA6NLw09EwE0CqkOc4q9oUmW1yo/edit?usp=sharing"",""แม่ฮ่องสอน!J178"")"),0)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IFERROR(__xludf.DUMMYFUNCTION("IMPORTRANGE(""https://docs.google.com/spreadsheets/d/11923uPwbBZFjjGgGUA6NLw09EwE0CqkOc4q9oUmW1yo/edit?usp=sharing"",""แม่ฮ่องสอน!I179"")"),0)</f>
        <v>0</v>
      </c>
      <c r="J264" s="188">
        <f ca="1">IFERROR(__xludf.DUMMYFUNCTION("IMPORTRANGE(""https://docs.google.com/spreadsheets/d/11923uPwbBZFjjGgGUA6NLw09EwE0CqkOc4q9oUmW1yo/edit?usp=sharing"",""แม่ฮ่องสอน!J179"")"),0)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IFERROR(__xludf.DUMMYFUNCTION("IMPORTRANGE(""https://docs.google.com/spreadsheets/d/11923uPwbBZFjjGgGUA6NLw09EwE0CqkOc4q9oUmW1yo/edit?usp=sharing"",""แม่ฮ่องสอน!I180"")"),0)</f>
        <v>0</v>
      </c>
      <c r="J265" s="188">
        <f ca="1">IFERROR(__xludf.DUMMYFUNCTION("IMPORTRANGE(""https://docs.google.com/spreadsheets/d/11923uPwbBZFjjGgGUA6NLw09EwE0CqkOc4q9oUmW1yo/edit?usp=sharing"",""แม่ฮ่องสอน!J180"")"),0)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IFERROR(__xludf.DUMMYFUNCTION("IMPORTRANGE(""https://docs.google.com/spreadsheets/d/11923uPwbBZFjjGgGUA6NLw09EwE0CqkOc4q9oUmW1yo/edit?usp=sharing"",""แม่ฮ่องสอน!I181"")"),0)</f>
        <v>0</v>
      </c>
      <c r="J266" s="188">
        <f ca="1">IFERROR(__xludf.DUMMYFUNCTION("IMPORTRANGE(""https://docs.google.com/spreadsheets/d/11923uPwbBZFjjGgGUA6NLw09EwE0CqkOc4q9oUmW1yo/edit?usp=sharing"",""แม่ฮ่องสอน!J181"")"),0)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IFERROR(__xludf.DUMMYFUNCTION("IMPORTRANGE(""https://docs.google.com/spreadsheets/d/11923uPwbBZFjjGgGUA6NLw09EwE0CqkOc4q9oUmW1yo/edit?usp=sharing"",""แม่ฮ่องสอน!I182"")"),0)</f>
        <v>0</v>
      </c>
      <c r="J267" s="188">
        <f ca="1">IFERROR(__xludf.DUMMYFUNCTION("IMPORTRANGE(""https://docs.google.com/spreadsheets/d/11923uPwbBZFjjGgGUA6NLw09EwE0CqkOc4q9oUmW1yo/edit?usp=sharing"",""แม่ฮ่องสอน!J182"")"),0)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IFERROR(__xludf.DUMMYFUNCTION("IMPORTRANGE(""https://docs.google.com/spreadsheets/d/11923uPwbBZFjjGgGUA6NLw09EwE0CqkOc4q9oUmW1yo/edit?usp=sharing"",""แม่ฮ่องสอน!J183"")"),0)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IFERROR(__xludf.DUMMYFUNCTION("IMPORTRANGE(""https://docs.google.com/spreadsheets/d/11923uPwbBZFjjGgGUA6NLw09EwE0CqkOc4q9oUmW1yo/edit?usp=sharing"",""แม่ฮ่องสอน!J184"")"),0)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IFERROR(__xludf.DUMMYFUNCTION("IMPORTRANGE(""https://docs.google.com/spreadsheets/d/11923uPwbBZFjjGgGUA6NLw09EwE0CqkOc4q9oUmW1yo/edit?usp=sharing"",""แม่ฮ่องสอน!I185"")"),15)</f>
        <v>15</v>
      </c>
      <c r="J270" s="316">
        <f ca="1">IFERROR(__xludf.DUMMYFUNCTION("IMPORTRANGE(""https://docs.google.com/spreadsheets/d/11923uPwbBZFjjGgGUA6NLw09EwE0CqkOc4q9oUmW1yo/edit?usp=sharing"",""แม่ฮ่องสอน!J185"")"),15)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131250</v>
      </c>
      <c r="N271" s="152">
        <f t="shared" ca="1" si="83"/>
        <v>102093</v>
      </c>
      <c r="O271" s="151">
        <f t="shared" ref="O271:O273" ca="1" si="84">IF(L271&gt;0,N271*100/L271,0)</f>
        <v>54.536858974358971</v>
      </c>
      <c r="P271" s="151">
        <f t="shared" ref="P271:P273" ca="1" si="85">IF(M271&gt;0,N271*100/M271,0)</f>
        <v>77.785142857142858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131250</v>
      </c>
      <c r="N273" s="88">
        <f t="shared" ca="1" si="87"/>
        <v>102093</v>
      </c>
      <c r="O273" s="156">
        <f t="shared" ca="1" si="84"/>
        <v>54.536858974358971</v>
      </c>
      <c r="P273" s="156">
        <f t="shared" ca="1" si="85"/>
        <v>77.785142857142858</v>
      </c>
    </row>
    <row r="274" spans="1:16" ht="21.75" customHeight="1" x14ac:dyDescent="0.45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IFERROR(__xludf.DUMMYFUNCTION("IMPORTRANGE(""https://docs.google.com/spreadsheets/d/1Yj_ptqi66GCucihVvJfMjLAmec39IyEx_6qawtMGysU/edit?usp=sharing"",""สบก!CK31"")"),131250)</f>
        <v>131250</v>
      </c>
      <c r="N275" s="168">
        <f ca="1">IFERROR(__xludf.DUMMYFUNCTION("IMPORTRANGE(""https://docs.google.com/spreadsheets/d/1Yj_ptqi66GCucihVvJfMjLAmec39IyEx_6qawtMGysU/edit?usp=sharing"",""สบก!CL31"")"),102093)</f>
        <v>102093</v>
      </c>
      <c r="O275" s="168">
        <f ca="1">IF(L275&gt;0,N275*100/L275,0)</f>
        <v>54.536858974358971</v>
      </c>
      <c r="P275" s="168">
        <f ca="1">IF(M275&gt;0,N275*100/M275,0)</f>
        <v>77.785142857142858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IFERROR(__xludf.DUMMYFUNCTION("IMPORTRANGE(""https://docs.google.com/spreadsheets/d/1Yj_ptqi66GCucihVvJfMjLAmec39IyEx_6qawtMGysU/edit?usp=sharing"",""สบก!CG31"")"),132000)</f>
        <v>132000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IFERROR(__xludf.DUMMYFUNCTION("IMPORTRANGE(""https://docs.google.com/spreadsheets/d/1Yj_ptqi66GCucihVvJfMjLAmec39IyEx_6qawtMGysU/edit?usp=sharing"",""สบก!CH31"")"),55200)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IFERROR(__xludf.DUMMYFUNCTION("IMPORTRANGE(""https://docs.google.com/spreadsheets/d/1Yj_ptqi66GCucihVvJfMjLAmec39IyEx_6qawtMGysU/edit?usp=sharing"",""สบก!CI31"")"),0)</f>
        <v>0</v>
      </c>
      <c r="M279" s="50"/>
      <c r="N279" s="50">
        <f ca="1">IFERROR(__xludf.DUMMYFUNCTION("IMPORTRANGE(""https://docs.google.com/spreadsheets/d/1Yj_ptqi66GCucihVvJfMjLAmec39IyEx_6qawtMGysU/edit?usp=sharing"",""สบก!CM31"")"),0)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IFERROR(__xludf.DUMMYFUNCTION("IMPORTRANGE(""https://docs.google.com/spreadsheets/d/11923uPwbBZFjjGgGUA6NLw09EwE0CqkOc4q9oUmW1yo/edit?usp=sharing"",""แม่ฮ่องสอน!J191"")"),0)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IFERROR(__xludf.DUMMYFUNCTION("IMPORTRANGE(""https://docs.google.com/spreadsheets/d/11923uPwbBZFjjGgGUA6NLw09EwE0CqkOc4q9oUmW1yo/edit?usp=sharing"",""แม่ฮ่องสอน!J192"")"),1)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IFERROR(__xludf.DUMMYFUNCTION("IMPORTRANGE(""https://docs.google.com/spreadsheets/d/11923uPwbBZFjjGgGUA6NLw09EwE0CqkOc4q9oUmW1yo/edit?usp=sharing"",""แม่ฮ่องสอน!J193"")"),1)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IFERROR(__xludf.DUMMYFUNCTION("IMPORTRANGE(""https://docs.google.com/spreadsheets/d/11923uPwbBZFjjGgGUA6NLw09EwE0CqkOc4q9oUmW1yo/edit?usp=sharing"",""แม่ฮ่องสอน!J194"")"),1)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IFERROR(__xludf.DUMMYFUNCTION("IMPORTRANGE(""https://docs.google.com/spreadsheets/d/11923uPwbBZFjjGgGUA6NLw09EwE0CqkOc4q9oUmW1yo/edit?usp=sharing"",""แม่ฮ่องสอน!I195"")"),15)</f>
        <v>15</v>
      </c>
      <c r="J285" s="188">
        <f ca="1">IFERROR(__xludf.DUMMYFUNCTION("IMPORTRANGE(""https://docs.google.com/spreadsheets/d/11923uPwbBZFjjGgGUA6NLw09EwE0CqkOc4q9oUmW1yo/edit?usp=sharing"",""แม่ฮ่องสอน!J195"")"),15)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IFERROR(__xludf.DUMMYFUNCTION("IMPORTRANGE(""https://docs.google.com/spreadsheets/d/11923uPwbBZFjjGgGUA6NLw09EwE0CqkOc4q9oUmW1yo/edit?usp=sharing"",""แม่ฮ่องสอน!J196"")"),0)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IFERROR(__xludf.DUMMYFUNCTION("IMPORTRANGE(""https://docs.google.com/spreadsheets/d/11923uPwbBZFjjGgGUA6NLw09EwE0CqkOc4q9oUmW1yo/edit?usp=sharing"",""แม่ฮ่องสอน!J197"")"),0)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IFERROR(__xludf.DUMMYFUNCTION("IMPORTRANGE(""https://docs.google.com/spreadsheets/d/11923uPwbBZFjjGgGUA6NLw09EwE0CqkOc4q9oUmW1yo/edit?usp=sharing"",""แม่ฮ่องสอน!I199"")"),0)</f>
        <v>0</v>
      </c>
      <c r="J289" s="316">
        <f ca="1">IFERROR(__xludf.DUMMYFUNCTION("IMPORTRANGE(""https://docs.google.com/spreadsheets/d/11923uPwbBZFjjGgGUA6NLw09EwE0CqkOc4q9oUmW1yo/edit?usp=sharing"",""แม่ฮ่องสอน!J199"")"),0)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IFERROR(__xludf.DUMMYFUNCTION("IMPORTRANGE(""https://docs.google.com/spreadsheets/d/1Yj_ptqi66GCucihVvJfMjLAmec39IyEx_6qawtMGysU/edit?usp=sharing"",""สบก!CT31"")"),0)</f>
        <v>0</v>
      </c>
      <c r="N294" s="168">
        <f ca="1">IFERROR(__xludf.DUMMYFUNCTION("IMPORTRANGE(""https://docs.google.com/spreadsheets/d/1Yj_ptqi66GCucihVvJfMjLAmec39IyEx_6qawtMGysU/edit?usp=sharing"",""สบก!CU31"")"),0)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IFERROR(__xludf.DUMMYFUNCTION("IMPORTRANGE(""https://docs.google.com/spreadsheets/d/1Yj_ptqi66GCucihVvJfMjLAmec39IyEx_6qawtMGysU/edit?usp=sharing"",""สบก!CP31"")"),0)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IFERROR(__xludf.DUMMYFUNCTION("IMPORTRANGE(""https://docs.google.com/spreadsheets/d/1Yj_ptqi66GCucihVvJfMjLAmec39IyEx_6qawtMGysU/edit?usp=sharing"",""สบก!CQ31"")"),0)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IFERROR(__xludf.DUMMYFUNCTION("IMPORTRANGE(""https://docs.google.com/spreadsheets/d/1Yj_ptqi66GCucihVvJfMjLAmec39IyEx_6qawtMGysU/edit?usp=sharing"",""สบก!CR31"")"),0)</f>
        <v>0</v>
      </c>
      <c r="M298" s="50"/>
      <c r="N298" s="50">
        <f ca="1">IFERROR(__xludf.DUMMYFUNCTION("IMPORTRANGE(""https://docs.google.com/spreadsheets/d/1Yj_ptqi66GCucihVvJfMjLAmec39IyEx_6qawtMGysU/edit?usp=sharing"",""สบก!CV31"")"),0)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IFERROR(__xludf.DUMMYFUNCTION("IMPORTRANGE(""https://docs.google.com/spreadsheets/d/11923uPwbBZFjjGgGUA6NLw09EwE0CqkOc4q9oUmW1yo/edit?usp=sharing"",""แม่ฮ่องสอน!J205"")"),0)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IFERROR(__xludf.DUMMYFUNCTION("IMPORTRANGE(""https://docs.google.com/spreadsheets/d/11923uPwbBZFjjGgGUA6NLw09EwE0CqkOc4q9oUmW1yo/edit?usp=sharing"",""แม่ฮ่องสอน!J206"")"),0)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IFERROR(__xludf.DUMMYFUNCTION("IMPORTRANGE(""https://docs.google.com/spreadsheets/d/11923uPwbBZFjjGgGUA6NLw09EwE0CqkOc4q9oUmW1yo/edit?usp=sharing"",""แม่ฮ่องสอน!J207"")"),0)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IFERROR(__xludf.DUMMYFUNCTION("IMPORTRANGE(""https://docs.google.com/spreadsheets/d/11923uPwbBZFjjGgGUA6NLw09EwE0CqkOc4q9oUmW1yo/edit?usp=sharing"",""แม่ฮ่องสอน!J208"")"),0)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IFERROR(__xludf.DUMMYFUNCTION("IMPORTRANGE(""https://docs.google.com/spreadsheets/d/11923uPwbBZFjjGgGUA6NLw09EwE0CqkOc4q9oUmW1yo/edit?usp=sharing"",""แม่ฮ่องสอน!I209"")"),0)</f>
        <v>0</v>
      </c>
      <c r="J304" s="203">
        <f ca="1">IFERROR(__xludf.DUMMYFUNCTION("IMPORTRANGE(""https://docs.google.com/spreadsheets/d/11923uPwbBZFjjGgGUA6NLw09EwE0CqkOc4q9oUmW1yo/edit?usp=sharing"",""แม่ฮ่องสอน!J209"")"),0)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IFERROR(__xludf.DUMMYFUNCTION("IMPORTRANGE(""https://docs.google.com/spreadsheets/d/11923uPwbBZFjjGgGUA6NLw09EwE0CqkOc4q9oUmW1yo/edit?usp=sharing"",""แม่ฮ่องสอน!I211"")"),0)</f>
        <v>0</v>
      </c>
      <c r="J306" s="203">
        <f ca="1">IFERROR(__xludf.DUMMYFUNCTION("IMPORTRANGE(""https://docs.google.com/spreadsheets/d/11923uPwbBZFjjGgGUA6NLw09EwE0CqkOc4q9oUmW1yo/edit?usp=sharing"",""แม่ฮ่องสอน!J211"")"),0)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IFERROR(__xludf.DUMMYFUNCTION("IMPORTRANGE(""https://docs.google.com/spreadsheets/d/11923uPwbBZFjjGgGUA6NLw09EwE0CqkOc4q9oUmW1yo/edit?usp=sharing"",""แม่ฮ่องสอน!J212"")"),0)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IFERROR(__xludf.DUMMYFUNCTION("IMPORTRANGE(""https://docs.google.com/spreadsheets/d/11923uPwbBZFjjGgGUA6NLw09EwE0CqkOc4q9oUmW1yo/edit?usp=sharing"",""แม่ฮ่องสอน!J213"")"),0)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IFERROR(__xludf.DUMMYFUNCTION("IMPORTRANGE(""https://docs.google.com/spreadsheets/d/11923uPwbBZFjjGgGUA6NLw09EwE0CqkOc4q9oUmW1yo/edit?usp=sharing"",""แม่ฮ่องสอน!I214"")"),0)</f>
        <v>0</v>
      </c>
      <c r="J309" s="333">
        <f ca="1">IFERROR(__xludf.DUMMYFUNCTION("IMPORTRANGE(""https://docs.google.com/spreadsheets/d/11923uPwbBZFjjGgGUA6NLw09EwE0CqkOc4q9oUmW1yo/edit?usp=sharing"",""แม่ฮ่องสอน!J214"")"),0)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IFERROR(__xludf.DUMMYFUNCTION("IMPORTRANGE(""https://docs.google.com/spreadsheets/d/1Yj_ptqi66GCucihVvJfMjLAmec39IyEx_6qawtMGysU/edit?usp=sharing"",""สบก!DC31"")"),0)</f>
        <v>0</v>
      </c>
      <c r="N314" s="168">
        <f ca="1">IFERROR(__xludf.DUMMYFUNCTION("IMPORTRANGE(""https://docs.google.com/spreadsheets/d/1Yj_ptqi66GCucihVvJfMjLAmec39IyEx_6qawtMGysU/edit?usp=sharing"",""สบก!DD31"")"),0)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IFERROR(__xludf.DUMMYFUNCTION("IMPORTRANGE(""https://docs.google.com/spreadsheets/d/1Yj_ptqi66GCucihVvJfMjLAmec39IyEx_6qawtMGysU/edit?usp=sharing"",""สบก!CY31"")"),0)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IFERROR(__xludf.DUMMYFUNCTION("IMPORTRANGE(""https://docs.google.com/spreadsheets/d/1Yj_ptqi66GCucihVvJfMjLAmec39IyEx_6qawtMGysU/edit?usp=sharing"",""สบก!CZ31"")"),0)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IFERROR(__xludf.DUMMYFUNCTION("IMPORTRANGE(""https://docs.google.com/spreadsheets/d/1Yj_ptqi66GCucihVvJfMjLAmec39IyEx_6qawtMGysU/edit?usp=sharing"",""สบก!DA31"")"),0)</f>
        <v>0</v>
      </c>
      <c r="M318" s="50"/>
      <c r="N318" s="50">
        <f ca="1">IFERROR(__xludf.DUMMYFUNCTION("IMPORTRANGE(""https://docs.google.com/spreadsheets/d/1Yj_ptqi66GCucihVvJfMjLAmec39IyEx_6qawtMGysU/edit?usp=sharing"",""สบก!DE31"")"),0)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IFERROR(__xludf.DUMMYFUNCTION("IMPORTRANGE(""https://docs.google.com/spreadsheets/d/11923uPwbBZFjjGgGUA6NLw09EwE0CqkOc4q9oUmW1yo/edit?usp=sharing"",""แม่ฮ่องสอน!J220"")"),0)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IFERROR(__xludf.DUMMYFUNCTION("IMPORTRANGE(""https://docs.google.com/spreadsheets/d/11923uPwbBZFjjGgGUA6NLw09EwE0CqkOc4q9oUmW1yo/edit?usp=sharing"",""แม่ฮ่องสอน!J221"")"),0)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IFERROR(__xludf.DUMMYFUNCTION("IMPORTRANGE(""https://docs.google.com/spreadsheets/d/11923uPwbBZFjjGgGUA6NLw09EwE0CqkOc4q9oUmW1yo/edit?usp=sharing"",""แม่ฮ่องสอน!J222"")"),0)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IFERROR(__xludf.DUMMYFUNCTION("IMPORTRANGE(""https://docs.google.com/spreadsheets/d/11923uPwbBZFjjGgGUA6NLw09EwE0CqkOc4q9oUmW1yo/edit?usp=sharing"",""แม่ฮ่องสอน!J223"")"),0)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IFERROR(__xludf.DUMMYFUNCTION("IMPORTRANGE(""https://docs.google.com/spreadsheets/d/11923uPwbBZFjjGgGUA6NLw09EwE0CqkOc4q9oUmW1yo/edit?usp=sharing"",""แม่ฮ่องสอน!I224"")"),0)</f>
        <v>0</v>
      </c>
      <c r="J324" s="203">
        <f ca="1">IFERROR(__xludf.DUMMYFUNCTION("IMPORTRANGE(""https://docs.google.com/spreadsheets/d/11923uPwbBZFjjGgGUA6NLw09EwE0CqkOc4q9oUmW1yo/edit?usp=sharing"",""แม่ฮ่องสอน!J224"")"),0)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IFERROR(__xludf.DUMMYFUNCTION("IMPORTRANGE(""https://docs.google.com/spreadsheets/d/11923uPwbBZFjjGgGUA6NLw09EwE0CqkOc4q9oUmW1yo/edit?usp=sharing"",""แม่ฮ่องสอน!J225"")"),0)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IFERROR(__xludf.DUMMYFUNCTION("IMPORTRANGE(""https://docs.google.com/spreadsheets/d/11923uPwbBZFjjGgGUA6NLw09EwE0CqkOc4q9oUmW1yo/edit?usp=sharing"",""แม่ฮ่องสอน!J226"")"),0)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IFERROR(__xludf.DUMMYFUNCTION("IMPORTRANGE(""https://docs.google.com/spreadsheets/d/11923uPwbBZFjjGgGUA6NLw09EwE0CqkOc4q9oUmW1yo/edit?usp=sharing"",""แม่ฮ่องสอน!I228"")"),95)</f>
        <v>95</v>
      </c>
      <c r="J328" s="339">
        <f ca="1">IFERROR(__xludf.DUMMYFUNCTION("IMPORTRANGE(""https://docs.google.com/spreadsheets/d/11923uPwbBZFjjGgGUA6NLw09EwE0CqkOc4q9oUmW1yo/edit?usp=sharing"",""แม่ฮ่องสอน!J228"")"),97)</f>
        <v>97</v>
      </c>
      <c r="K328" s="317">
        <f ca="1">IF(I328&gt;0,J328*100/I328,0)</f>
        <v>102.10526315789474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872040</v>
      </c>
      <c r="M329" s="152">
        <f t="shared" ca="1" si="98"/>
        <v>673850</v>
      </c>
      <c r="N329" s="152">
        <f t="shared" ca="1" si="98"/>
        <v>560998.40000000002</v>
      </c>
      <c r="O329" s="151">
        <f t="shared" ref="O329:O331" ca="1" si="99">IF(L329&gt;0,N329*100/L329,0)</f>
        <v>64.331727902389801</v>
      </c>
      <c r="P329" s="151">
        <f t="shared" ref="P329:P331" ca="1" si="100">IF(M329&gt;0,N329*100/M329,0)</f>
        <v>83.252712027899378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872040</v>
      </c>
      <c r="M331" s="88">
        <f t="shared" ca="1" si="102"/>
        <v>673850</v>
      </c>
      <c r="N331" s="88">
        <f t="shared" ca="1" si="102"/>
        <v>560998.40000000002</v>
      </c>
      <c r="O331" s="156">
        <f t="shared" ca="1" si="99"/>
        <v>64.331727902389801</v>
      </c>
      <c r="P331" s="156">
        <f t="shared" ca="1" si="100"/>
        <v>83.252712027899378</v>
      </c>
    </row>
    <row r="332" spans="1:16" ht="21.75" customHeight="1" x14ac:dyDescent="0.45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824240</v>
      </c>
      <c r="M333" s="167">
        <f ca="1">IFERROR(__xludf.DUMMYFUNCTION("IMPORTRANGE(""https://docs.google.com/spreadsheets/d/1Yj_ptqi66GCucihVvJfMjLAmec39IyEx_6qawtMGysU/edit?usp=sharing"",""สบก!DL31"")"),626050)</f>
        <v>626050</v>
      </c>
      <c r="N333" s="168">
        <f ca="1">IFERROR(__xludf.DUMMYFUNCTION("IMPORTRANGE(""https://docs.google.com/spreadsheets/d/1Yj_ptqi66GCucihVvJfMjLAmec39IyEx_6qawtMGysU/edit?usp=sharing"",""สบก!DM31"")"),513198.4)</f>
        <v>513198.4</v>
      </c>
      <c r="O333" s="168">
        <f ca="1">IF(L333&gt;0,N333*100/L333,0)</f>
        <v>62.263224303600893</v>
      </c>
      <c r="P333" s="168">
        <f ca="1">IF(M333&gt;0,N333*100/M333,0)</f>
        <v>81.974027633575588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IFERROR(__xludf.DUMMYFUNCTION("IMPORTRANGE(""https://docs.google.com/spreadsheets/d/1Yj_ptqi66GCucihVvJfMjLAmec39IyEx_6qawtMGysU/edit?usp=sharing"",""สบก!DH31"")"),574800)</f>
        <v>574800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IFERROR(__xludf.DUMMYFUNCTION("IMPORTRANGE(""https://docs.google.com/spreadsheets/d/1Yj_ptqi66GCucihVvJfMjLAmec39IyEx_6qawtMGysU/edit?usp=sharing"",""สบก!DI31"")"),249440)</f>
        <v>249440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IFERROR(__xludf.DUMMYFUNCTION("IMPORTRANGE(""https://docs.google.com/spreadsheets/d/1Yj_ptqi66GCucihVvJfMjLAmec39IyEx_6qawtMGysU/edit?usp=sharing"",""สบก!DJ31"")"),47800)</f>
        <v>47800</v>
      </c>
      <c r="M337" s="50">
        <f ca="1">L337</f>
        <v>47800</v>
      </c>
      <c r="N337" s="50">
        <f ca="1">IFERROR(__xludf.DUMMYFUNCTION("IMPORTRANGE(""https://docs.google.com/spreadsheets/d/1Yj_ptqi66GCucihVvJfMjLAmec39IyEx_6qawtMGysU/edit?usp=sharing"",""สบก!DN31"")"),47800)</f>
        <v>47800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IFERROR(__xludf.DUMMYFUNCTION("IMPORTRANGE(""https://docs.google.com/spreadsheets/d/11923uPwbBZFjjGgGUA6NLw09EwE0CqkOc4q9oUmW1yo/edit?usp=sharing"",""แม่ฮ่องสอน!I234"")"),0)</f>
        <v>0</v>
      </c>
      <c r="J339" s="187">
        <f ca="1">IFERROR(__xludf.DUMMYFUNCTION("IMPORTRANGE(""https://docs.google.com/spreadsheets/d/11923uPwbBZFjjGgGUA6NLw09EwE0CqkOc4q9oUmW1yo/edit?usp=sharing"",""แม่ฮ่องสอน!J234"")"),51)</f>
        <v>51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IFERROR(__xludf.DUMMYFUNCTION("IMPORTRANGE(""https://docs.google.com/spreadsheets/d/11923uPwbBZFjjGgGUA6NLw09EwE0CqkOc4q9oUmW1yo/edit?usp=sharing"",""แม่ฮ่องสอน!I235"")"),150)</f>
        <v>150</v>
      </c>
      <c r="J340" s="187">
        <f ca="1">IFERROR(__xludf.DUMMYFUNCTION("IMPORTRANGE(""https://docs.google.com/spreadsheets/d/11923uPwbBZFjjGgGUA6NLw09EwE0CqkOc4q9oUmW1yo/edit?usp=sharing"",""แม่ฮ่องสอน!J235"")"),96.44)</f>
        <v>96.44</v>
      </c>
      <c r="K340" s="342">
        <f t="shared" ca="1" si="103"/>
        <v>64.293333333333337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IFERROR(__xludf.DUMMYFUNCTION("IMPORTRANGE(""https://docs.google.com/spreadsheets/d/11923uPwbBZFjjGgGUA6NLw09EwE0CqkOc4q9oUmW1yo/edit?usp=sharing"",""แม่ฮ่องสอน!I236"")"),95)</f>
        <v>95</v>
      </c>
      <c r="J341" s="187">
        <f ca="1">IFERROR(__xludf.DUMMYFUNCTION("IMPORTRANGE(""https://docs.google.com/spreadsheets/d/11923uPwbBZFjjGgGUA6NLw09EwE0CqkOc4q9oUmW1yo/edit?usp=sharing"",""แม่ฮ่องสอน!J236"")"),102)</f>
        <v>102</v>
      </c>
      <c r="K341" s="342">
        <f t="shared" ca="1" si="103"/>
        <v>107.36842105263158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IFERROR(__xludf.DUMMYFUNCTION("IMPORTRANGE(""https://docs.google.com/spreadsheets/d/11923uPwbBZFjjGgGUA6NLw09EwE0CqkOc4q9oUmW1yo/edit?usp=sharing"",""แม่ฮ่องสอน!I237"")"),0)</f>
        <v>0</v>
      </c>
      <c r="J342" s="187">
        <f ca="1">IFERROR(__xludf.DUMMYFUNCTION("IMPORTRANGE(""https://docs.google.com/spreadsheets/d/11923uPwbBZFjjGgGUA6NLw09EwE0CqkOc4q9oUmW1yo/edit?usp=sharing"",""แม่ฮ่องสอน!J237"")"),308.78)</f>
        <v>308.77999999999997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IFERROR(__xludf.DUMMYFUNCTION("IMPORTRANGE(""https://docs.google.com/spreadsheets/d/11923uPwbBZFjjGgGUA6NLw09EwE0CqkOc4q9oUmW1yo/edit?usp=sharing"",""แม่ฮ่องสอน!I238"")"),95)</f>
        <v>95</v>
      </c>
      <c r="J343" s="187">
        <f ca="1">IFERROR(__xludf.DUMMYFUNCTION("IMPORTRANGE(""https://docs.google.com/spreadsheets/d/11923uPwbBZFjjGgGUA6NLw09EwE0CqkOc4q9oUmW1yo/edit?usp=sharing"",""แม่ฮ่องสอน!J238"")"),0)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IFERROR(__xludf.DUMMYFUNCTION("IMPORTRANGE(""https://docs.google.com/spreadsheets/d/11923uPwbBZFjjGgGUA6NLw09EwE0CqkOc4q9oUmW1yo/edit?usp=sharing"",""แม่ฮ่องสอน!I239"")"),0)</f>
        <v>0</v>
      </c>
      <c r="J344" s="187">
        <f ca="1">IFERROR(__xludf.DUMMYFUNCTION("IMPORTRANGE(""https://docs.google.com/spreadsheets/d/11923uPwbBZFjjGgGUA6NLw09EwE0CqkOc4q9oUmW1yo/edit?usp=sharing"",""แม่ฮ่องสอน!J239"")"),0)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IFERROR(__xludf.DUMMYFUNCTION("IMPORTRANGE(""https://docs.google.com/spreadsheets/d/11923uPwbBZFjjGgGUA6NLw09EwE0CqkOc4q9oUmW1yo/edit?usp=sharing"",""แม่ฮ่องสอน!I240"")"),95)</f>
        <v>95</v>
      </c>
      <c r="J345" s="187">
        <f ca="1">IFERROR(__xludf.DUMMYFUNCTION("IMPORTRANGE(""https://docs.google.com/spreadsheets/d/11923uPwbBZFjjGgGUA6NLw09EwE0CqkOc4q9oUmW1yo/edit?usp=sharing"",""แม่ฮ่องสอน!J240"")"),97)</f>
        <v>97</v>
      </c>
      <c r="K345" s="342">
        <f t="shared" ca="1" si="103"/>
        <v>102.10526315789474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IFERROR(__xludf.DUMMYFUNCTION("IMPORTRANGE(""https://docs.google.com/spreadsheets/d/11923uPwbBZFjjGgGUA6NLw09EwE0CqkOc4q9oUmW1yo/edit?usp=sharing"",""แม่ฮ่องสอน!I241"")"),0)</f>
        <v>0</v>
      </c>
      <c r="J346" s="187">
        <f ca="1">IFERROR(__xludf.DUMMYFUNCTION("IMPORTRANGE(""https://docs.google.com/spreadsheets/d/11923uPwbBZFjjGgGUA6NLw09EwE0CqkOc4q9oUmW1yo/edit?usp=sharing"",""แม่ฮ่องสอน!J241"")"),302.65)</f>
        <v>302.64999999999998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IFERROR(__xludf.DUMMYFUNCTION("IMPORTRANGE(""https://docs.google.com/spreadsheets/d/11923uPwbBZFjjGgGUA6NLw09EwE0CqkOc4q9oUmW1yo/edit?usp=sharing"",""แม่ฮ่องสอน!L242"")"),1083727)</f>
        <v>1083727</v>
      </c>
      <c r="M347" s="357"/>
      <c r="N347" s="357">
        <f ca="1">IFERROR(__xludf.DUMMYFUNCTION("IMPORTRANGE(""https://docs.google.com/spreadsheets/d/11923uPwbBZFjjGgGUA6NLw09EwE0CqkOc4q9oUmW1yo/edit?usp=sharing"",""แม่ฮ่องสอน!M242"")"),710694)</f>
        <v>710694</v>
      </c>
      <c r="O347" s="357">
        <f ca="1">+IF(L347&gt;0,N347*100/L347,0)</f>
        <v>65.578692788866576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IFERROR(__xludf.DUMMYFUNCTION("IMPORTRANGE(""https://docs.google.com/spreadsheets/d/11923uPwbBZFjjGgGUA6NLw09EwE0CqkOc4q9oUmW1yo/edit?usp=sharing"",""แม่ฮ่องสอน!I244"")"),110)</f>
        <v>110</v>
      </c>
      <c r="J349" s="370">
        <f ca="1">IFERROR(__xludf.DUMMYFUNCTION("IMPORTRANGE(""https://docs.google.com/spreadsheets/d/11923uPwbBZFjjGgGUA6NLw09EwE0CqkOc4q9oUmW1yo/edit?usp=sharing"",""แม่ฮ่องสอน!J244"")"),110)</f>
        <v>110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IFERROR(__xludf.DUMMYFUNCTION("IMPORTRANGE(""https://docs.google.com/spreadsheets/d/11923uPwbBZFjjGgGUA6NLw09EwE0CqkOc4q9oUmW1yo/edit?usp=sharing"",""แม่ฮ่องสอน!L244"")"),353580)</f>
        <v>353580</v>
      </c>
      <c r="M349" s="372"/>
      <c r="N349" s="372">
        <f ca="1">IFERROR(__xludf.DUMMYFUNCTION("IMPORTRANGE(""https://docs.google.com/spreadsheets/d/11923uPwbBZFjjGgGUA6NLw09EwE0CqkOc4q9oUmW1yo/edit?usp=sharing"",""แม่ฮ่องสอน!M244"")"),271436)</f>
        <v>271436</v>
      </c>
      <c r="O349" s="372">
        <f ca="1">+IF(L349&gt;0,N349*100/L349,0)</f>
        <v>76.767916737372019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IFERROR(__xludf.DUMMYFUNCTION("IMPORTRANGE(""https://docs.google.com/spreadsheets/d/11923uPwbBZFjjGgGUA6NLw09EwE0CqkOc4q9oUmW1yo/edit?usp=sharing"",""แม่ฮ่องสอน!I245"")"),50)</f>
        <v>50</v>
      </c>
      <c r="J350" s="370">
        <f ca="1">IFERROR(__xludf.DUMMYFUNCTION("IMPORTRANGE(""https://docs.google.com/spreadsheets/d/11923uPwbBZFjjGgGUA6NLw09EwE0CqkOc4q9oUmW1yo/edit?usp=sharing"",""แม่ฮ่องสอน!J245"")"),50)</f>
        <v>50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IFERROR(__xludf.DUMMYFUNCTION("IMPORTRANGE(""https://docs.google.com/spreadsheets/d/11923uPwbBZFjjGgGUA6NLw09EwE0CqkOc4q9oUmW1yo/edit?usp=sharing"",""แม่ฮ่องสอน!L246"")"),0)</f>
        <v>0</v>
      </c>
      <c r="M351" s="164"/>
      <c r="N351" s="164">
        <f ca="1">IFERROR(__xludf.DUMMYFUNCTION("IMPORTRANGE(""https://docs.google.com/spreadsheets/d/11923uPwbBZFjjGgGUA6NLw09EwE0CqkOc4q9oUmW1yo/edit?usp=sharing"",""แม่ฮ่องสอน!M246"")"),0)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IFERROR(__xludf.DUMMYFUNCTION("IMPORTRANGE(""https://docs.google.com/spreadsheets/d/11923uPwbBZFjjGgGUA6NLw09EwE0CqkOc4q9oUmW1yo/edit?usp=sharing"",""แม่ฮ่องสอน!L247"")"),353580)</f>
        <v>353580</v>
      </c>
      <c r="M352" s="165"/>
      <c r="N352" s="164">
        <f ca="1">IFERROR(__xludf.DUMMYFUNCTION("IMPORTRANGE(""https://docs.google.com/spreadsheets/d/11923uPwbBZFjjGgGUA6NLw09EwE0CqkOc4q9oUmW1yo/edit?usp=sharing"",""แม่ฮ่องสอน!M247"")"),271436)</f>
        <v>271436</v>
      </c>
      <c r="O352" s="165">
        <f t="shared" ca="1" si="105"/>
        <v>76.767916737372019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IFERROR(__xludf.DUMMYFUNCTION("IMPORTRANGE(""https://docs.google.com/spreadsheets/d/11923uPwbBZFjjGgGUA6NLw09EwE0CqkOc4q9oUmW1yo/edit?usp=sharing"",""แม่ฮ่องสอน!L248"")"),0)</f>
        <v>0</v>
      </c>
      <c r="M353" s="168"/>
      <c r="N353" s="168">
        <f ca="1">IFERROR(__xludf.DUMMYFUNCTION("IMPORTRANGE(""https://docs.google.com/spreadsheets/d/11923uPwbBZFjjGgGUA6NLw09EwE0CqkOc4q9oUmW1yo/edit?usp=sharing"",""แม่ฮ่องสอน!M248"")"),0)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IFERROR(__xludf.DUMMYFUNCTION("IMPORTRANGE(""https://docs.google.com/spreadsheets/d/11923uPwbBZFjjGgGUA6NLw09EwE0CqkOc4q9oUmW1yo/edit?usp=sharing"",""แม่ฮ่องสอน!L249"")"),353580)</f>
        <v>353580</v>
      </c>
      <c r="M354" s="168"/>
      <c r="N354" s="167">
        <f ca="1">IFERROR(__xludf.DUMMYFUNCTION("IMPORTRANGE(""https://docs.google.com/spreadsheets/d/11923uPwbBZFjjGgGUA6NLw09EwE0CqkOc4q9oUmW1yo/edit?usp=sharing"",""แม่ฮ่องสอน!M249"")"),271436)</f>
        <v>271436</v>
      </c>
      <c r="O354" s="168">
        <f t="shared" ca="1" si="105"/>
        <v>76.767916737372019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IFERROR(__xludf.DUMMYFUNCTION("IMPORTRANGE(""https://docs.google.com/spreadsheets/d/11923uPwbBZFjjGgGUA6NLw09EwE0CqkOc4q9oUmW1yo/edit?usp=sharing"",""แม่ฮ่องสอน!M250"")"),61800)</f>
        <v>61800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IFERROR(__xludf.DUMMYFUNCTION("IMPORTRANGE(""https://docs.google.com/spreadsheets/d/11923uPwbBZFjjGgGUA6NLw09EwE0CqkOc4q9oUmW1yo/edit?usp=sharing"",""แม่ฮ่องสอน!M251"")"),105000)</f>
        <v>105000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IFERROR(__xludf.DUMMYFUNCTION("IMPORTRANGE(""https://docs.google.com/spreadsheets/d/11923uPwbBZFjjGgGUA6NLw09EwE0CqkOc4q9oUmW1yo/edit?usp=sharing"",""แม่ฮ่องสอน!M252"")"),74516)</f>
        <v>74516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IFERROR(__xludf.DUMMYFUNCTION("IMPORTRANGE(""https://docs.google.com/spreadsheets/d/11923uPwbBZFjjGgGUA6NLw09EwE0CqkOc4q9oUmW1yo/edit?usp=sharing"",""แม่ฮ่องสอน!M253"")"),30120)</f>
        <v>30120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IFERROR(__xludf.DUMMYFUNCTION("IMPORTRANGE(""https://docs.google.com/spreadsheets/d/11923uPwbBZFjjGgGUA6NLw09EwE0CqkOc4q9oUmW1yo/edit?usp=sharing"",""แม่ฮ่องสอน!J255"")"),0)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IFERROR(__xludf.DUMMYFUNCTION("IMPORTRANGE(""https://docs.google.com/spreadsheets/d/11923uPwbBZFjjGgGUA6NLw09EwE0CqkOc4q9oUmW1yo/edit?usp=sharing"",""แม่ฮ่องสอน!J256"")"),1)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IFERROR(__xludf.DUMMYFUNCTION("IMPORTRANGE(""https://docs.google.com/spreadsheets/d/11923uPwbBZFjjGgGUA6NLw09EwE0CqkOc4q9oUmW1yo/edit?usp=sharing"",""แม่ฮ่องสอน!J257"")"),1)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IFERROR(__xludf.DUMMYFUNCTION("IMPORTRANGE(""https://docs.google.com/spreadsheets/d/11923uPwbBZFjjGgGUA6NLw09EwE0CqkOc4q9oUmW1yo/edit?usp=sharing"",""แม่ฮ่องสอน!J258"")"),1)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IFERROR(__xludf.DUMMYFUNCTION("IMPORTRANGE(""https://docs.google.com/spreadsheets/d/11923uPwbBZFjjGgGUA6NLw09EwE0CqkOc4q9oUmW1yo/edit?usp=sharing"",""แม่ฮ่องสอน!J166"")"),0)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IFERROR(__xludf.DUMMYFUNCTION("IMPORTRANGE(""https://docs.google.com/spreadsheets/d/11923uPwbBZFjjGgGUA6NLw09EwE0CqkOc4q9oUmW1yo/edit?usp=sharing"",""แม่ฮ่องสอน!J166"")"),0)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IFERROR(__xludf.DUMMYFUNCTION("IMPORTRANGE(""https://docs.google.com/spreadsheets/d/11923uPwbBZFjjGgGUA6NLw09EwE0CqkOc4q9oUmW1yo/edit?usp=sharing"",""แม่ฮ่องสอน!J166"")"),0)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IFERROR(__xludf.DUMMYFUNCTION("IMPORTRANGE(""https://docs.google.com/spreadsheets/d/11923uPwbBZFjjGgGUA6NLw09EwE0CqkOc4q9oUmW1yo/edit?usp=sharing"",""แม่ฮ่องสอน!J166"")"),0)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IFERROR(__xludf.DUMMYFUNCTION("IMPORTRANGE(""https://docs.google.com/spreadsheets/d/11923uPwbBZFjjGgGUA6NLw09EwE0CqkOc4q9oUmW1yo/edit?usp=sharing"",""แม่ฮ่องสอน!I263"")"),50)</f>
        <v>50</v>
      </c>
      <c r="J368" s="187">
        <f ca="1">IFERROR(__xludf.DUMMYFUNCTION("IMPORTRANGE(""https://docs.google.com/spreadsheets/d/11923uPwbBZFjjGgGUA6NLw09EwE0CqkOc4q9oUmW1yo/edit?usp=sharing"",""แม่ฮ่องสอน!J263"")"),50)</f>
        <v>50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IFERROR(__xludf.DUMMYFUNCTION("IMPORTRANGE(""https://docs.google.com/spreadsheets/d/11923uPwbBZFjjGgGUA6NLw09EwE0CqkOc4q9oUmW1yo/edit?usp=sharing"",""แม่ฮ่องสอน!I164"")"),0)</f>
        <v>0</v>
      </c>
      <c r="J369" s="203">
        <f ca="1">IFERROR(__xludf.DUMMYFUNCTION("IMPORTRANGE(""https://docs.google.com/spreadsheets/d/11923uPwbBZFjjGgGUA6NLw09EwE0CqkOc4q9oUmW1yo/edit?usp=sharing"",""แม่ฮ่องสอน!J164"")"),0)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IFERROR(__xludf.DUMMYFUNCTION("IMPORTRANGE(""https://docs.google.com/spreadsheets/d/11923uPwbBZFjjGgGUA6NLw09EwE0CqkOc4q9oUmW1yo/edit?usp=sharing"",""แม่ฮ่องสอน!I265"")"),50)</f>
        <v>50</v>
      </c>
      <c r="J370" s="203">
        <f ca="1">IFERROR(__xludf.DUMMYFUNCTION("IMPORTRANGE(""https://docs.google.com/spreadsheets/d/11923uPwbBZFjjGgGUA6NLw09EwE0CqkOc4q9oUmW1yo/edit?usp=sharing"",""แม่ฮ่องสอน!J265"")"),0)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IFERROR(__xludf.DUMMYFUNCTION("IMPORTRANGE(""https://docs.google.com/spreadsheets/d/11923uPwbBZFjjGgGUA6NLw09EwE0CqkOc4q9oUmW1yo/edit?usp=sharing"",""แม่ฮ่องสอน!I164"")"),0)</f>
        <v>0</v>
      </c>
      <c r="J371" s="188">
        <f ca="1">IFERROR(__xludf.DUMMYFUNCTION("IMPORTRANGE(""https://docs.google.com/spreadsheets/d/11923uPwbBZFjjGgGUA6NLw09EwE0CqkOc4q9oUmW1yo/edit?usp=sharing"",""แม่ฮ่องสอน!J164"")"),0)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IFERROR(__xludf.DUMMYFUNCTION("IMPORTRANGE(""https://docs.google.com/spreadsheets/d/11923uPwbBZFjjGgGUA6NLw09EwE0CqkOc4q9oUmW1yo/edit?usp=sharing"",""แม่ฮ่องสอน!I267"")"),50)</f>
        <v>50</v>
      </c>
      <c r="J372" s="188">
        <f ca="1">IFERROR(__xludf.DUMMYFUNCTION("IMPORTRANGE(""https://docs.google.com/spreadsheets/d/11923uPwbBZFjjGgGUA6NLw09EwE0CqkOc4q9oUmW1yo/edit?usp=sharing"",""แม่ฮ่องสอน!J267"")"),50)</f>
        <v>50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IFERROR(__xludf.DUMMYFUNCTION("IMPORTRANGE(""https://docs.google.com/spreadsheets/d/11923uPwbBZFjjGgGUA6NLw09EwE0CqkOc4q9oUmW1yo/edit?usp=sharing"",""แม่ฮ่องสอน!I164"")"),0)</f>
        <v>0</v>
      </c>
      <c r="J373" s="203">
        <f ca="1">IFERROR(__xludf.DUMMYFUNCTION("IMPORTRANGE(""https://docs.google.com/spreadsheets/d/11923uPwbBZFjjGgGUA6NLw09EwE0CqkOc4q9oUmW1yo/edit?usp=sharing"",""แม่ฮ่องสอน!J164"")"),0)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IFERROR(__xludf.DUMMYFUNCTION("IMPORTRANGE(""https://docs.google.com/spreadsheets/d/11923uPwbBZFjjGgGUA6NLw09EwE0CqkOc4q9oUmW1yo/edit?usp=sharing"",""แม่ฮ่องสอน!I164"")"),0)</f>
        <v>0</v>
      </c>
      <c r="J374" s="187">
        <f ca="1">IFERROR(__xludf.DUMMYFUNCTION("IMPORTRANGE(""https://docs.google.com/spreadsheets/d/11923uPwbBZFjjGgGUA6NLw09EwE0CqkOc4q9oUmW1yo/edit?usp=sharing"",""แม่ฮ่องสอน!J164"")"),0)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IFERROR(__xludf.DUMMYFUNCTION("IMPORTRANGE(""https://docs.google.com/spreadsheets/d/11923uPwbBZFjjGgGUA6NLw09EwE0CqkOc4q9oUmW1yo/edit?usp=sharing"",""แม่ฮ่องสอน!I270"")"),110)</f>
        <v>110</v>
      </c>
      <c r="J375" s="187">
        <f ca="1">IFERROR(__xludf.DUMMYFUNCTION("IMPORTRANGE(""https://docs.google.com/spreadsheets/d/11923uPwbBZFjjGgGUA6NLw09EwE0CqkOc4q9oUmW1yo/edit?usp=sharing"",""แม่ฮ่องสอน!J270"")"),110)</f>
        <v>110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IFERROR(__xludf.DUMMYFUNCTION("IMPORTRANGE(""https://docs.google.com/spreadsheets/d/11923uPwbBZFjjGgGUA6NLw09EwE0CqkOc4q9oUmW1yo/edit?usp=sharing"",""แม่ฮ่องสอน!I271"")"),60)</f>
        <v>60</v>
      </c>
      <c r="J376" s="188">
        <f ca="1">IFERROR(__xludf.DUMMYFUNCTION("IMPORTRANGE(""https://docs.google.com/spreadsheets/d/11923uPwbBZFjjGgGUA6NLw09EwE0CqkOc4q9oUmW1yo/edit?usp=sharing"",""แม่ฮ่องสอน!J271"")"),60)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IFERROR(__xludf.DUMMYFUNCTION("IMPORTRANGE(""https://docs.google.com/spreadsheets/d/11923uPwbBZFjjGgGUA6NLw09EwE0CqkOc4q9oUmW1yo/edit?usp=sharing"",""แม่ฮ่องสอน!I272"")"),50)</f>
        <v>50</v>
      </c>
      <c r="J377" s="203">
        <f ca="1">IFERROR(__xludf.DUMMYFUNCTION("IMPORTRANGE(""https://docs.google.com/spreadsheets/d/11923uPwbBZFjjGgGUA6NLw09EwE0CqkOc4q9oUmW1yo/edit?usp=sharing"",""แม่ฮ่องสอน!J272"")"),50)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IFERROR(__xludf.DUMMYFUNCTION("IMPORTRANGE(""https://docs.google.com/spreadsheets/d/11923uPwbBZFjjGgGUA6NLw09EwE0CqkOc4q9oUmW1yo/edit?usp=sharing"",""แม่ฮ่องสอน!J273"")"),0)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IFERROR(__xludf.DUMMYFUNCTION("IMPORTRANGE(""https://docs.google.com/spreadsheets/d/11923uPwbBZFjjGgGUA6NLw09EwE0CqkOc4q9oUmW1yo/edit?usp=sharing"",""แม่ฮ่องสอน!J274"")"),0)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IFERROR(__xludf.DUMMYFUNCTION("IMPORTRANGE(""https://docs.google.com/spreadsheets/d/11923uPwbBZFjjGgGUA6NLw09EwE0CqkOc4q9oUmW1yo/edit?usp=sharing"",""แม่ฮ่องสอน!I275"")"),100)</f>
        <v>100</v>
      </c>
      <c r="J380" s="370">
        <f ca="1">IFERROR(__xludf.DUMMYFUNCTION("IMPORTRANGE(""https://docs.google.com/spreadsheets/d/11923uPwbBZFjjGgGUA6NLw09EwE0CqkOc4q9oUmW1yo/edit?usp=sharing"",""แม่ฮ่องสอน!J275"")"),0)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IFERROR(__xludf.DUMMYFUNCTION("IMPORTRANGE(""https://docs.google.com/spreadsheets/d/11923uPwbBZFjjGgGUA6NLw09EwE0CqkOc4q9oUmW1yo/edit?usp=sharing"",""แม่ฮ่องสอน!L275"")"),127660)</f>
        <v>127660</v>
      </c>
      <c r="M380" s="372"/>
      <c r="N380" s="372">
        <f ca="1">IFERROR(__xludf.DUMMYFUNCTION("IMPORTRANGE(""https://docs.google.com/spreadsheets/d/11923uPwbBZFjjGgGUA6NLw09EwE0CqkOc4q9oUmW1yo/edit?usp=sharing"",""แม่ฮ่องสอน!M275"")"),52870)</f>
        <v>52870</v>
      </c>
      <c r="O380" s="372">
        <f ca="1">+IF(L380&gt;0,N380*100/L380,0)</f>
        <v>41.414695284349051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IFERROR(__xludf.DUMMYFUNCTION("IMPORTRANGE(""https://docs.google.com/spreadsheets/d/11923uPwbBZFjjGgGUA6NLw09EwE0CqkOc4q9oUmW1yo/edit?usp=sharing"",""แม่ฮ่องสอน!I276"")"),10)</f>
        <v>10</v>
      </c>
      <c r="J381" s="370">
        <f ca="1">IFERROR(__xludf.DUMMYFUNCTION("IMPORTRANGE(""https://docs.google.com/spreadsheets/d/11923uPwbBZFjjGgGUA6NLw09EwE0CqkOc4q9oUmW1yo/edit?usp=sharing"",""แม่ฮ่องสอน!J276"")"),10)</f>
        <v>10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IFERROR(__xludf.DUMMYFUNCTION("IMPORTRANGE(""https://docs.google.com/spreadsheets/d/11923uPwbBZFjjGgGUA6NLw09EwE0CqkOc4q9oUmW1yo/edit?usp=sharing"",""แม่ฮ่องสอน!L277"")"),0)</f>
        <v>0</v>
      </c>
      <c r="M382" s="164"/>
      <c r="N382" s="164">
        <f ca="1">IFERROR(__xludf.DUMMYFUNCTION("IMPORTRANGE(""https://docs.google.com/spreadsheets/d/11923uPwbBZFjjGgGUA6NLw09EwE0CqkOc4q9oUmW1yo/edit?usp=sharing"",""แม่ฮ่องสอน!M277"")"),0)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IFERROR(__xludf.DUMMYFUNCTION("IMPORTRANGE(""https://docs.google.com/spreadsheets/d/11923uPwbBZFjjGgGUA6NLw09EwE0CqkOc4q9oUmW1yo/edit?usp=sharing"",""แม่ฮ่องสอน!L278"")"),127660)</f>
        <v>127660</v>
      </c>
      <c r="M383" s="165"/>
      <c r="N383" s="165">
        <f ca="1">IFERROR(__xludf.DUMMYFUNCTION("IMPORTRANGE(""https://docs.google.com/spreadsheets/d/11923uPwbBZFjjGgGUA6NLw09EwE0CqkOc4q9oUmW1yo/edit?usp=sharing"",""แม่ฮ่องสอน!M278"")"),52870)</f>
        <v>52870</v>
      </c>
      <c r="O383" s="165">
        <f t="shared" ca="1" si="109"/>
        <v>41.414695284349051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IFERROR(__xludf.DUMMYFUNCTION("IMPORTRANGE(""https://docs.google.com/spreadsheets/d/11923uPwbBZFjjGgGUA6NLw09EwE0CqkOc4q9oUmW1yo/edit?usp=sharing"",""แม่ฮ่องสอน!L279"")"),0)</f>
        <v>0</v>
      </c>
      <c r="M384" s="168"/>
      <c r="N384" s="168">
        <f ca="1">IFERROR(__xludf.DUMMYFUNCTION("IMPORTRANGE(""https://docs.google.com/spreadsheets/d/11923uPwbBZFjjGgGUA6NLw09EwE0CqkOc4q9oUmW1yo/edit?usp=sharing"",""แม่ฮ่องสอน!M279"")"),0)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IFERROR(__xludf.DUMMYFUNCTION("IMPORTRANGE(""https://docs.google.com/spreadsheets/d/11923uPwbBZFjjGgGUA6NLw09EwE0CqkOc4q9oUmW1yo/edit?usp=sharing"",""แม่ฮ่องสอน!L280"")"),127660)</f>
        <v>127660</v>
      </c>
      <c r="M385" s="168"/>
      <c r="N385" s="167">
        <f ca="1">IFERROR(__xludf.DUMMYFUNCTION("IMPORTRANGE(""https://docs.google.com/spreadsheets/d/11923uPwbBZFjjGgGUA6NLw09EwE0CqkOc4q9oUmW1yo/edit?usp=sharing"",""แม่ฮ่องสอน!M280"")"),52870)</f>
        <v>52870</v>
      </c>
      <c r="O385" s="168">
        <f t="shared" ca="1" si="109"/>
        <v>41.414695284349051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IFERROR(__xludf.DUMMYFUNCTION("IMPORTRANGE(""https://docs.google.com/spreadsheets/d/11923uPwbBZFjjGgGUA6NLw09EwE0CqkOc4q9oUmW1yo/edit?usp=sharing"",""แม่ฮ่องสอน!M281"")"),41400)</f>
        <v>41400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IFERROR(__xludf.DUMMYFUNCTION("IMPORTRANGE(""https://docs.google.com/spreadsheets/d/11923uPwbBZFjjGgGUA6NLw09EwE0CqkOc4q9oUmW1yo/edit?usp=sharing"",""แม่ฮ่องสอน!M282"")"),0)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IFERROR(__xludf.DUMMYFUNCTION("IMPORTRANGE(""https://docs.google.com/spreadsheets/d/11923uPwbBZFjjGgGUA6NLw09EwE0CqkOc4q9oUmW1yo/edit?usp=sharing"",""แม่ฮ่องสอน!M283"")"),0)</f>
        <v>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IFERROR(__xludf.DUMMYFUNCTION("IMPORTRANGE(""https://docs.google.com/spreadsheets/d/11923uPwbBZFjjGgGUA6NLw09EwE0CqkOc4q9oUmW1yo/edit?usp=sharing"",""แม่ฮ่องสอน!M284"")"),11470)</f>
        <v>11470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IFERROR(__xludf.DUMMYFUNCTION("IMPORTRANGE(""https://docs.google.com/spreadsheets/d/11923uPwbBZFjjGgGUA6NLw09EwE0CqkOc4q9oUmW1yo/edit?usp=sharing"",""แม่ฮ่องสอน!J286"")"),0)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IFERROR(__xludf.DUMMYFUNCTION("IMPORTRANGE(""https://docs.google.com/spreadsheets/d/11923uPwbBZFjjGgGUA6NLw09EwE0CqkOc4q9oUmW1yo/edit?usp=sharing"",""แม่ฮ่องสอน!J287"")"),1)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IFERROR(__xludf.DUMMYFUNCTION("IMPORTRANGE(""https://docs.google.com/spreadsheets/d/11923uPwbBZFjjGgGUA6NLw09EwE0CqkOc4q9oUmW1yo/edit?usp=sharing"",""แม่ฮ่องสอน!J288"")"),1)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IFERROR(__xludf.DUMMYFUNCTION("IMPORTRANGE(""https://docs.google.com/spreadsheets/d/11923uPwbBZFjjGgGUA6NLw09EwE0CqkOc4q9oUmW1yo/edit?usp=sharing"",""แม่ฮ่องสอน!J289"")"),1)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IFERROR(__xludf.DUMMYFUNCTION("IMPORTRANGE(""https://docs.google.com/spreadsheets/d/11923uPwbBZFjjGgGUA6NLw09EwE0CqkOc4q9oUmW1yo/edit?usp=sharing"",""แม่ฮ่องสอน!I291"")"),10)</f>
        <v>10</v>
      </c>
      <c r="J396" s="197">
        <f ca="1">IFERROR(__xludf.DUMMYFUNCTION("IMPORTRANGE(""https://docs.google.com/spreadsheets/d/11923uPwbBZFjjGgGUA6NLw09EwE0CqkOc4q9oUmW1yo/edit?usp=sharing"",""แม่ฮ่องสอน!J291"")"),10)</f>
        <v>10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IFERROR(__xludf.DUMMYFUNCTION("IMPORTRANGE(""https://docs.google.com/spreadsheets/d/11923uPwbBZFjjGgGUA6NLw09EwE0CqkOc4q9oUmW1yo/edit?usp=sharing"",""แม่ฮ่องสอน!I292"")"),100)</f>
        <v>100</v>
      </c>
      <c r="J397" s="197">
        <f ca="1">IFERROR(__xludf.DUMMYFUNCTION("IMPORTRANGE(""https://docs.google.com/spreadsheets/d/11923uPwbBZFjjGgGUA6NLw09EwE0CqkOc4q9oUmW1yo/edit?usp=sharing"",""แม่ฮ่องสอน!J292"")"),0)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IFERROR(__xludf.DUMMYFUNCTION("IMPORTRANGE(""https://docs.google.com/spreadsheets/d/11923uPwbBZFjjGgGUA6NLw09EwE0CqkOc4q9oUmW1yo/edit?usp=sharing"",""แม่ฮ่องสอน!I293"")"),10)</f>
        <v>10</v>
      </c>
      <c r="J398" s="197">
        <f ca="1">IFERROR(__xludf.DUMMYFUNCTION("IMPORTRANGE(""https://docs.google.com/spreadsheets/d/11923uPwbBZFjjGgGUA6NLw09EwE0CqkOc4q9oUmW1yo/edit?usp=sharing"",""แม่ฮ่องสอน!J293"")"),0)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IFERROR(__xludf.DUMMYFUNCTION("IMPORTRANGE(""https://docs.google.com/spreadsheets/d/11923uPwbBZFjjGgGUA6NLw09EwE0CqkOc4q9oUmW1yo/edit?usp=sharing"",""แม่ฮ่องสอน!J294"")"),0)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IFERROR(__xludf.DUMMYFUNCTION("IMPORTRANGE(""https://docs.google.com/spreadsheets/d/11923uPwbBZFjjGgGUA6NLw09EwE0CqkOc4q9oUmW1yo/edit?usp=sharing"",""แม่ฮ่องสอน!J295"")"),0)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IFERROR(__xludf.DUMMYFUNCTION("IMPORTRANGE(""https://docs.google.com/spreadsheets/d/11923uPwbBZFjjGgGUA6NLw09EwE0CqkOc4q9oUmW1yo/edit?usp=sharing"",""แม่ฮ่องสอน!I296"")"),93)</f>
        <v>93</v>
      </c>
      <c r="J401" s="370">
        <f ca="1">IFERROR(__xludf.DUMMYFUNCTION("IMPORTRANGE(""https://docs.google.com/spreadsheets/d/11923uPwbBZFjjGgGUA6NLw09EwE0CqkOc4q9oUmW1yo/edit?usp=sharing"",""แม่ฮ่องสอน!J296"")"),93)</f>
        <v>93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IFERROR(__xludf.DUMMYFUNCTION("IMPORTRANGE(""https://docs.google.com/spreadsheets/d/11923uPwbBZFjjGgGUA6NLw09EwE0CqkOc4q9oUmW1yo/edit?usp=sharing"",""แม่ฮ่องสอน!L296"")"),104590)</f>
        <v>104590</v>
      </c>
      <c r="M401" s="372"/>
      <c r="N401" s="372">
        <f ca="1">IFERROR(__xludf.DUMMYFUNCTION("IMPORTRANGE(""https://docs.google.com/spreadsheets/d/11923uPwbBZFjjGgGUA6NLw09EwE0CqkOc4q9oUmW1yo/edit?usp=sharing"",""แม่ฮ่องสอน!M296"")"),101650)</f>
        <v>101650</v>
      </c>
      <c r="O401" s="372">
        <f ca="1">+IF(L401&gt;0,N401*100/L401,0)</f>
        <v>97.189023807247352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IFERROR(__xludf.DUMMYFUNCTION("IMPORTRANGE(""https://docs.google.com/spreadsheets/d/11923uPwbBZFjjGgGUA6NLw09EwE0CqkOc4q9oUmW1yo/edit?usp=sharing"",""แม่ฮ่องสอน!I297"")"),31)</f>
        <v>31</v>
      </c>
      <c r="J402" s="370">
        <f ca="1">IFERROR(__xludf.DUMMYFUNCTION("IMPORTRANGE(""https://docs.google.com/spreadsheets/d/11923uPwbBZFjjGgGUA6NLw09EwE0CqkOc4q9oUmW1yo/edit?usp=sharing"",""แม่ฮ่องสอน!J297"")"),31)</f>
        <v>31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IFERROR(__xludf.DUMMYFUNCTION("IMPORTRANGE(""https://docs.google.com/spreadsheets/d/11923uPwbBZFjjGgGUA6NLw09EwE0CqkOc4q9oUmW1yo/edit?usp=sharing"",""แม่ฮ่องสอน!L298"")"),0)</f>
        <v>0</v>
      </c>
      <c r="M403" s="164"/>
      <c r="N403" s="168">
        <f ca="1">IFERROR(__xludf.DUMMYFUNCTION("IMPORTRANGE(""https://docs.google.com/spreadsheets/d/11923uPwbBZFjjGgGUA6NLw09EwE0CqkOc4q9oUmW1yo/edit?usp=sharing"",""แม่ฮ่องสอน!M298"")"),0)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IFERROR(__xludf.DUMMYFUNCTION("IMPORTRANGE(""https://docs.google.com/spreadsheets/d/11923uPwbBZFjjGgGUA6NLw09EwE0CqkOc4q9oUmW1yo/edit?usp=sharing"",""แม่ฮ่องสอน!L299"")"),104590)</f>
        <v>104590</v>
      </c>
      <c r="M404" s="165"/>
      <c r="N404" s="168">
        <f ca="1">IFERROR(__xludf.DUMMYFUNCTION("IMPORTRANGE(""https://docs.google.com/spreadsheets/d/11923uPwbBZFjjGgGUA6NLw09EwE0CqkOc4q9oUmW1yo/edit?usp=sharing"",""แม่ฮ่องสอน!M299"")"),101650)</f>
        <v>101650</v>
      </c>
      <c r="O404" s="168">
        <f t="shared" ca="1" si="112"/>
        <v>97.189023807247352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IFERROR(__xludf.DUMMYFUNCTION("IMPORTRANGE(""https://docs.google.com/spreadsheets/d/11923uPwbBZFjjGgGUA6NLw09EwE0CqkOc4q9oUmW1yo/edit?usp=sharing"",""แม่ฮ่องสอน!L300"")"),0)</f>
        <v>0</v>
      </c>
      <c r="M405" s="168"/>
      <c r="N405" s="168">
        <f ca="1">IFERROR(__xludf.DUMMYFUNCTION("IMPORTRANGE(""https://docs.google.com/spreadsheets/d/11923uPwbBZFjjGgGUA6NLw09EwE0CqkOc4q9oUmW1yo/edit?usp=sharing"",""แม่ฮ่องสอน!M300"")"),0)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IFERROR(__xludf.DUMMYFUNCTION("IMPORTRANGE(""https://docs.google.com/spreadsheets/d/11923uPwbBZFjjGgGUA6NLw09EwE0CqkOc4q9oUmW1yo/edit?usp=sharing"",""แม่ฮ่องสอน!L301"")"),104590)</f>
        <v>104590</v>
      </c>
      <c r="M406" s="168"/>
      <c r="N406" s="168">
        <f ca="1">IFERROR(__xludf.DUMMYFUNCTION("IMPORTRANGE(""https://docs.google.com/spreadsheets/d/11923uPwbBZFjjGgGUA6NLw09EwE0CqkOc4q9oUmW1yo/edit?usp=sharing"",""แม่ฮ่องสอน!M301"")"),101650)</f>
        <v>101650</v>
      </c>
      <c r="O406" s="168">
        <f t="shared" ca="1" si="112"/>
        <v>97.189023807247352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IFERROR(__xludf.DUMMYFUNCTION("IMPORTRANGE(""https://docs.google.com/spreadsheets/d/11923uPwbBZFjjGgGUA6NLw09EwE0CqkOc4q9oUmW1yo/edit?usp=sharing"",""แม่ฮ่องสอน!M302"")"),67070)</f>
        <v>67070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IFERROR(__xludf.DUMMYFUNCTION("IMPORTRANGE(""https://docs.google.com/spreadsheets/d/11923uPwbBZFjjGgGUA6NLw09EwE0CqkOc4q9oUmW1yo/edit?usp=sharing"",""แม่ฮ่องสอน!M303"")"),14700)</f>
        <v>14700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IFERROR(__xludf.DUMMYFUNCTION("IMPORTRANGE(""https://docs.google.com/spreadsheets/d/11923uPwbBZFjjGgGUA6NLw09EwE0CqkOc4q9oUmW1yo/edit?usp=sharing"",""แม่ฮ่องสอน!M304"")"),0)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IFERROR(__xludf.DUMMYFUNCTION("IMPORTRANGE(""https://docs.google.com/spreadsheets/d/11923uPwbBZFjjGgGUA6NLw09EwE0CqkOc4q9oUmW1yo/edit?usp=sharing"",""แม่ฮ่องสอน!M305"")"),19880)</f>
        <v>19880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IFERROR(__xludf.DUMMYFUNCTION("IMPORTRANGE(""https://docs.google.com/spreadsheets/d/11923uPwbBZFjjGgGUA6NLw09EwE0CqkOc4q9oUmW1yo/edit?usp=sharing"",""แม่ฮ่องสอน!J307"")"),0)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IFERROR(__xludf.DUMMYFUNCTION("IMPORTRANGE(""https://docs.google.com/spreadsheets/d/11923uPwbBZFjjGgGUA6NLw09EwE0CqkOc4q9oUmW1yo/edit?usp=sharing"",""แม่ฮ่องสอน!J308"")"),1)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IFERROR(__xludf.DUMMYFUNCTION("IMPORTRANGE(""https://docs.google.com/spreadsheets/d/11923uPwbBZFjjGgGUA6NLw09EwE0CqkOc4q9oUmW1yo/edit?usp=sharing"",""แม่ฮ่องสอน!J309"")"),1)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IFERROR(__xludf.DUMMYFUNCTION("IMPORTRANGE(""https://docs.google.com/spreadsheets/d/11923uPwbBZFjjGgGUA6NLw09EwE0CqkOc4q9oUmW1yo/edit?usp=sharing"",""แม่ฮ่องสอน!J310"")"),0)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IFERROR(__xludf.DUMMYFUNCTION("IMPORTRANGE(""https://docs.google.com/spreadsheets/d/11923uPwbBZFjjGgGUA6NLw09EwE0CqkOc4q9oUmW1yo/edit?usp=sharing"",""แม่ฮ่องสอน!I311"")"),31)</f>
        <v>31</v>
      </c>
      <c r="J416" s="200">
        <f ca="1">IFERROR(__xludf.DUMMYFUNCTION("IMPORTRANGE(""https://docs.google.com/spreadsheets/d/11923uPwbBZFjjGgGUA6NLw09EwE0CqkOc4q9oUmW1yo/edit?usp=sharing"",""แม่ฮ่องสอน!J311"")"),31)</f>
        <v>31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IFERROR(__xludf.DUMMYFUNCTION("IMPORTRANGE(""https://docs.google.com/spreadsheets/d/11923uPwbBZFjjGgGUA6NLw09EwE0CqkOc4q9oUmW1yo/edit?usp=sharing"",""แม่ฮ่องสอน!I312"")"),0)</f>
        <v>0</v>
      </c>
      <c r="J417" s="391">
        <f ca="1">IFERROR(__xludf.DUMMYFUNCTION("IMPORTRANGE(""https://docs.google.com/spreadsheets/d/11923uPwbBZFjjGgGUA6NLw09EwE0CqkOc4q9oUmW1yo/edit?usp=sharing"",""แม่ฮ่องสอน!J312"")"),0)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IFERROR(__xludf.DUMMYFUNCTION("IMPORTRANGE(""https://docs.google.com/spreadsheets/d/11923uPwbBZFjjGgGUA6NLw09EwE0CqkOc4q9oUmW1yo/edit?usp=sharing"",""แม่ฮ่องสอน!I313"")"),0)</f>
        <v>0</v>
      </c>
      <c r="J418" s="392">
        <f ca="1">IFERROR(__xludf.DUMMYFUNCTION("IMPORTRANGE(""https://docs.google.com/spreadsheets/d/11923uPwbBZFjjGgGUA6NLw09EwE0CqkOc4q9oUmW1yo/edit?usp=sharing"",""แม่ฮ่องสอน!J313"")"),0)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IFERROR(__xludf.DUMMYFUNCTION("IMPORTRANGE(""https://docs.google.com/spreadsheets/d/11923uPwbBZFjjGgGUA6NLw09EwE0CqkOc4q9oUmW1yo/edit?usp=sharing"",""แม่ฮ่องสอน!I314"")"),0)</f>
        <v>0</v>
      </c>
      <c r="J419" s="393">
        <f ca="1">IFERROR(__xludf.DUMMYFUNCTION("IMPORTRANGE(""https://docs.google.com/spreadsheets/d/11923uPwbBZFjjGgGUA6NLw09EwE0CqkOc4q9oUmW1yo/edit?usp=sharing"",""แม่ฮ่องสอน!J314"")"),0)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IFERROR(__xludf.DUMMYFUNCTION("IMPORTRANGE(""https://docs.google.com/spreadsheets/d/11923uPwbBZFjjGgGUA6NLw09EwE0CqkOc4q9oUmW1yo/edit?usp=sharing"",""แม่ฮ่องสอน!I315"")"),0)</f>
        <v>0</v>
      </c>
      <c r="J420" s="393">
        <f ca="1">IFERROR(__xludf.DUMMYFUNCTION("IMPORTRANGE(""https://docs.google.com/spreadsheets/d/11923uPwbBZFjjGgGUA6NLw09EwE0CqkOc4q9oUmW1yo/edit?usp=sharing"",""แม่ฮ่องสอน!J315"")"),0)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IFERROR(__xludf.DUMMYFUNCTION("IMPORTRANGE(""https://docs.google.com/spreadsheets/d/11923uPwbBZFjjGgGUA6NLw09EwE0CqkOc4q9oUmW1yo/edit?usp=sharing"",""แม่ฮ่องสอน!I316"")"),21)</f>
        <v>21</v>
      </c>
      <c r="J421" s="391">
        <f ca="1">IFERROR(__xludf.DUMMYFUNCTION("IMPORTRANGE(""https://docs.google.com/spreadsheets/d/11923uPwbBZFjjGgGUA6NLw09EwE0CqkOc4q9oUmW1yo/edit?usp=sharing"",""แม่ฮ่องสอน!J316"")"),21)</f>
        <v>21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IFERROR(__xludf.DUMMYFUNCTION("IMPORTRANGE(""https://docs.google.com/spreadsheets/d/11923uPwbBZFjjGgGUA6NLw09EwE0CqkOc4q9oUmW1yo/edit?usp=sharing"",""แม่ฮ่องสอน!I317"")"),63)</f>
        <v>63</v>
      </c>
      <c r="J422" s="392">
        <f ca="1">IFERROR(__xludf.DUMMYFUNCTION("IMPORTRANGE(""https://docs.google.com/spreadsheets/d/11923uPwbBZFjjGgGUA6NLw09EwE0CqkOc4q9oUmW1yo/edit?usp=sharing"",""แม่ฮ่องสอน!J317"")"),63)</f>
        <v>63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IFERROR(__xludf.DUMMYFUNCTION("IMPORTRANGE(""https://docs.google.com/spreadsheets/d/11923uPwbBZFjjGgGUA6NLw09EwE0CqkOc4q9oUmW1yo/edit?usp=sharing"",""แม่ฮ่องสอน!I318"")"),21)</f>
        <v>21</v>
      </c>
      <c r="J423" s="393">
        <f ca="1">IFERROR(__xludf.DUMMYFUNCTION("IMPORTRANGE(""https://docs.google.com/spreadsheets/d/11923uPwbBZFjjGgGUA6NLw09EwE0CqkOc4q9oUmW1yo/edit?usp=sharing"",""แม่ฮ่องสอน!J318"")"),21)</f>
        <v>21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IFERROR(__xludf.DUMMYFUNCTION("IMPORTRANGE(""https://docs.google.com/spreadsheets/d/11923uPwbBZFjjGgGUA6NLw09EwE0CqkOc4q9oUmW1yo/edit?usp=sharing"",""แม่ฮ่องสอน!I319"")"),21)</f>
        <v>21</v>
      </c>
      <c r="J424" s="393">
        <f ca="1">IFERROR(__xludf.DUMMYFUNCTION("IMPORTRANGE(""https://docs.google.com/spreadsheets/d/11923uPwbBZFjjGgGUA6NLw09EwE0CqkOc4q9oUmW1yo/edit?usp=sharing"",""แม่ฮ่องสอน!J319"")"),21)</f>
        <v>21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IFERROR(__xludf.DUMMYFUNCTION("IMPORTRANGE(""https://docs.google.com/spreadsheets/d/11923uPwbBZFjjGgGUA6NLw09EwE0CqkOc4q9oUmW1yo/edit?usp=sharing"",""แม่ฮ่องสอน!I320"")"),21)</f>
        <v>21</v>
      </c>
      <c r="J425" s="393">
        <f ca="1">IFERROR(__xludf.DUMMYFUNCTION("IMPORTRANGE(""https://docs.google.com/spreadsheets/d/11923uPwbBZFjjGgGUA6NLw09EwE0CqkOc4q9oUmW1yo/edit?usp=sharing"",""แม่ฮ่องสอน!J320"")"),21)</f>
        <v>21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IFERROR(__xludf.DUMMYFUNCTION("IMPORTRANGE(""https://docs.google.com/spreadsheets/d/11923uPwbBZFjjGgGUA6NLw09EwE0CqkOc4q9oUmW1yo/edit?usp=sharing"",""แม่ฮ่องสอน!I321"")"),10)</f>
        <v>10</v>
      </c>
      <c r="J426" s="391">
        <f ca="1">IFERROR(__xludf.DUMMYFUNCTION("IMPORTRANGE(""https://docs.google.com/spreadsheets/d/11923uPwbBZFjjGgGUA6NLw09EwE0CqkOc4q9oUmW1yo/edit?usp=sharing"",""แม่ฮ่องสอน!J321"")"),10)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IFERROR(__xludf.DUMMYFUNCTION("IMPORTRANGE(""https://docs.google.com/spreadsheets/d/11923uPwbBZFjjGgGUA6NLw09EwE0CqkOc4q9oUmW1yo/edit?usp=sharing"",""แม่ฮ่องสอน!I322"")"),30)</f>
        <v>30</v>
      </c>
      <c r="J427" s="392">
        <f ca="1">IFERROR(__xludf.DUMMYFUNCTION("IMPORTRANGE(""https://docs.google.com/spreadsheets/d/11923uPwbBZFjjGgGUA6NLw09EwE0CqkOc4q9oUmW1yo/edit?usp=sharing"",""แม่ฮ่องสอน!J322"")"),30)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IFERROR(__xludf.DUMMYFUNCTION("IMPORTRANGE(""https://docs.google.com/spreadsheets/d/11923uPwbBZFjjGgGUA6NLw09EwE0CqkOc4q9oUmW1yo/edit?usp=sharing"",""แม่ฮ่องสอน!I323"")"),10)</f>
        <v>10</v>
      </c>
      <c r="J428" s="393">
        <f ca="1">IFERROR(__xludf.DUMMYFUNCTION("IMPORTRANGE(""https://docs.google.com/spreadsheets/d/11923uPwbBZFjjGgGUA6NLw09EwE0CqkOc4q9oUmW1yo/edit?usp=sharing"",""แม่ฮ่องสอน!J323"")"),10)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IFERROR(__xludf.DUMMYFUNCTION("IMPORTRANGE(""https://docs.google.com/spreadsheets/d/11923uPwbBZFjjGgGUA6NLw09EwE0CqkOc4q9oUmW1yo/edit?usp=sharing"",""แม่ฮ่องสอน!I324"")"),10)</f>
        <v>10</v>
      </c>
      <c r="J429" s="393">
        <f ca="1">IFERROR(__xludf.DUMMYFUNCTION("IMPORTRANGE(""https://docs.google.com/spreadsheets/d/11923uPwbBZFjjGgGUA6NLw09EwE0CqkOc4q9oUmW1yo/edit?usp=sharing"",""แม่ฮ่องสอน!J324"")"),10)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IFERROR(__xludf.DUMMYFUNCTION("IMPORTRANGE(""https://docs.google.com/spreadsheets/d/11923uPwbBZFjjGgGUA6NLw09EwE0CqkOc4q9oUmW1yo/edit?usp=sharing"",""แม่ฮ่องสอน!I325"")"),21)</f>
        <v>21</v>
      </c>
      <c r="J430" s="391">
        <f ca="1">IFERROR(__xludf.DUMMYFUNCTION("IMPORTRANGE(""https://docs.google.com/spreadsheets/d/11923uPwbBZFjjGgGUA6NLw09EwE0CqkOc4q9oUmW1yo/edit?usp=sharing"",""แม่ฮ่องสอน!J325"")"),21)</f>
        <v>21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IFERROR(__xludf.DUMMYFUNCTION("IMPORTRANGE(""https://docs.google.com/spreadsheets/d/11923uPwbBZFjjGgGUA6NLw09EwE0CqkOc4q9oUmW1yo/edit?usp=sharing"",""แม่ฮ่องสอน!I326"")"),0)</f>
        <v>0</v>
      </c>
      <c r="J431" s="393">
        <f ca="1">IFERROR(__xludf.DUMMYFUNCTION("IMPORTRANGE(""https://docs.google.com/spreadsheets/d/11923uPwbBZFjjGgGUA6NLw09EwE0CqkOc4q9oUmW1yo/edit?usp=sharing"",""แม่ฮ่องสอน!J326"")"),0)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IFERROR(__xludf.DUMMYFUNCTION("IMPORTRANGE(""https://docs.google.com/spreadsheets/d/11923uPwbBZFjjGgGUA6NLw09EwE0CqkOc4q9oUmW1yo/edit?usp=sharing"",""แม่ฮ่องสอน!I327"")"),21)</f>
        <v>21</v>
      </c>
      <c r="J432" s="393">
        <f ca="1">IFERROR(__xludf.DUMMYFUNCTION("IMPORTRANGE(""https://docs.google.com/spreadsheets/d/11923uPwbBZFjjGgGUA6NLw09EwE0CqkOc4q9oUmW1yo/edit?usp=sharing"",""แม่ฮ่องสอน!J327"")"),21)</f>
        <v>21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IFERROR(__xludf.DUMMYFUNCTION("IMPORTRANGE(""https://docs.google.com/spreadsheets/d/11923uPwbBZFjjGgGUA6NLw09EwE0CqkOc4q9oUmW1yo/edit?usp=sharing"",""แม่ฮ่องสอน!J328"")"),0)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IFERROR(__xludf.DUMMYFUNCTION("IMPORTRANGE(""https://docs.google.com/spreadsheets/d/11923uPwbBZFjjGgGUA6NLw09EwE0CqkOc4q9oUmW1yo/edit?usp=sharing"",""แม่ฮ่องสอน!J329"")"),0)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IFERROR(__xludf.DUMMYFUNCTION("IMPORTRANGE(""https://docs.google.com/spreadsheets/d/11923uPwbBZFjjGgGUA6NLw09EwE0CqkOc4q9oUmW1yo/edit?usp=sharing"",""แม่ฮ่องสอน!I330"")"),20)</f>
        <v>20</v>
      </c>
      <c r="J435" s="409">
        <f ca="1">IFERROR(__xludf.DUMMYFUNCTION("IMPORTRANGE(""https://docs.google.com/spreadsheets/d/11923uPwbBZFjjGgGUA6NLw09EwE0CqkOc4q9oUmW1yo/edit?usp=sharing"",""แม่ฮ่องสอน!J330"")"),20)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IFERROR(__xludf.DUMMYFUNCTION("IMPORTRANGE(""https://docs.google.com/spreadsheets/d/11923uPwbBZFjjGgGUA6NLw09EwE0CqkOc4q9oUmW1yo/edit?usp=sharing"",""แม่ฮ่องสอน!L330"")"),100000)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IFERROR(__xludf.DUMMYFUNCTION("IMPORTRANGE(""https://docs.google.com/spreadsheets/d/11923uPwbBZFjjGgGUA6NLw09EwE0CqkOc4q9oUmW1yo/edit?usp=sharing"",""แม่ฮ่องสอน!M330"")"),77659)</f>
        <v>77659</v>
      </c>
      <c r="O435" s="411">
        <f t="shared" ref="O435:O439" ca="1" si="114">+IF(L435&gt;0,N435*100/L435,0)</f>
        <v>77.659000000000006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IFERROR(__xludf.DUMMYFUNCTION("IMPORTRANGE(""https://docs.google.com/spreadsheets/d/11923uPwbBZFjjGgGUA6NLw09EwE0CqkOc4q9oUmW1yo/edit?usp=sharing"",""แม่ฮ่องสอน!L331"")"),0)</f>
        <v>0</v>
      </c>
      <c r="M436" s="164"/>
      <c r="N436" s="168">
        <f ca="1">IFERROR(__xludf.DUMMYFUNCTION("IMPORTRANGE(""https://docs.google.com/spreadsheets/d/11923uPwbBZFjjGgGUA6NLw09EwE0CqkOc4q9oUmW1yo/edit?usp=sharing"",""แม่ฮ่องสอน!M331"")"),0)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IFERROR(__xludf.DUMMYFUNCTION("IMPORTRANGE(""https://docs.google.com/spreadsheets/d/11923uPwbBZFjjGgGUA6NLw09EwE0CqkOc4q9oUmW1yo/edit?usp=sharing"",""แม่ฮ่องสอน!L332"")"),100000)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IFERROR(__xludf.DUMMYFUNCTION("IMPORTRANGE(""https://docs.google.com/spreadsheets/d/11923uPwbBZFjjGgGUA6NLw09EwE0CqkOc4q9oUmW1yo/edit?usp=sharing"",""แม่ฮ่องสอน!M332"")"),77659)</f>
        <v>77659</v>
      </c>
      <c r="O437" s="168">
        <f t="shared" ca="1" si="114"/>
        <v>77.659000000000006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IFERROR(__xludf.DUMMYFUNCTION("IMPORTRANGE(""https://docs.google.com/spreadsheets/d/11923uPwbBZFjjGgGUA6NLw09EwE0CqkOc4q9oUmW1yo/edit?usp=sharing"",""แม่ฮ่องสอน!L333"")"),0)</f>
        <v>0</v>
      </c>
      <c r="M438" s="168"/>
      <c r="N438" s="168">
        <f ca="1">IFERROR(__xludf.DUMMYFUNCTION("IMPORTRANGE(""https://docs.google.com/spreadsheets/d/11923uPwbBZFjjGgGUA6NLw09EwE0CqkOc4q9oUmW1yo/edit?usp=sharing"",""แม่ฮ่องสอน!M333"")"),0)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IFERROR(__xludf.DUMMYFUNCTION("IMPORTRANGE(""https://docs.google.com/spreadsheets/d/11923uPwbBZFjjGgGUA6NLw09EwE0CqkOc4q9oUmW1yo/edit?usp=sharing"",""แม่ฮ่องสอน!L334"")"),100000)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IFERROR(__xludf.DUMMYFUNCTION("IMPORTRANGE(""https://docs.google.com/spreadsheets/d/11923uPwbBZFjjGgGUA6NLw09EwE0CqkOc4q9oUmW1yo/edit?usp=sharing"",""แม่ฮ่องสอน!M334"")"),77659)</f>
        <v>77659</v>
      </c>
      <c r="O439" s="168">
        <f t="shared" ca="1" si="114"/>
        <v>77.659000000000006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IFERROR(__xludf.DUMMYFUNCTION("IMPORTRANGE(""https://docs.google.com/spreadsheets/d/11923uPwbBZFjjGgGUA6NLw09EwE0CqkOc4q9oUmW1yo/edit?usp=sharing"",""แม่ฮ่องสอน!M335"")"),44200)</f>
        <v>44200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IFERROR(__xludf.DUMMYFUNCTION("IMPORTRANGE(""https://docs.google.com/spreadsheets/d/11923uPwbBZFjjGgGUA6NLw09EwE0CqkOc4q9oUmW1yo/edit?usp=sharing"",""แม่ฮ่องสอน!M336"")"),0)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IFERROR(__xludf.DUMMYFUNCTION("IMPORTRANGE(""https://docs.google.com/spreadsheets/d/11923uPwbBZFjjGgGUA6NLw09EwE0CqkOc4q9oUmW1yo/edit?usp=sharing"",""แม่ฮ่องสอน!M337"")"),0)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IFERROR(__xludf.DUMMYFUNCTION("IMPORTRANGE(""https://docs.google.com/spreadsheets/d/11923uPwbBZFjjGgGUA6NLw09EwE0CqkOc4q9oUmW1yo/edit?usp=sharing"",""แม่ฮ่องสอน!M338"")"),33459)</f>
        <v>33459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IFERROR(__xludf.DUMMYFUNCTION("IMPORTRANGE(""https://docs.google.com/spreadsheets/d/11923uPwbBZFjjGgGUA6NLw09EwE0CqkOc4q9oUmW1yo/edit?usp=sharing"",""แม่ฮ่องสอน!J340"")"),0)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IFERROR(__xludf.DUMMYFUNCTION("IMPORTRANGE(""https://docs.google.com/spreadsheets/d/11923uPwbBZFjjGgGUA6NLw09EwE0CqkOc4q9oUmW1yo/edit?usp=sharing"",""แม่ฮ่องสอน!J341"")"),1)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IFERROR(__xludf.DUMMYFUNCTION("IMPORTRANGE(""https://docs.google.com/spreadsheets/d/11923uPwbBZFjjGgGUA6NLw09EwE0CqkOc4q9oUmW1yo/edit?usp=sharing"",""แม่ฮ่องสอน!J342"")"),1)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IFERROR(__xludf.DUMMYFUNCTION("IMPORTRANGE(""https://docs.google.com/spreadsheets/d/11923uPwbBZFjjGgGUA6NLw09EwE0CqkOc4q9oUmW1yo/edit?usp=sharing"",""แม่ฮ่องสอน!J343"")"),1)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IFERROR(__xludf.DUMMYFUNCTION("IMPORTRANGE(""https://docs.google.com/spreadsheets/d/11923uPwbBZFjjGgGUA6NLw09EwE0CqkOc4q9oUmW1yo/edit?usp=sharing"",""แม่ฮ่องสอน!I344"")"),20)</f>
        <v>20</v>
      </c>
      <c r="J449" s="200">
        <f ca="1">IFERROR(__xludf.DUMMYFUNCTION("IMPORTRANGE(""https://docs.google.com/spreadsheets/d/11923uPwbBZFjjGgGUA6NLw09EwE0CqkOc4q9oUmW1yo/edit?usp=sharing"",""แม่ฮ่องสอน!J344"")"),20)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IFERROR(__xludf.DUMMYFUNCTION("IMPORTRANGE(""https://docs.google.com/spreadsheets/d/11923uPwbBZFjjGgGUA6NLw09EwE0CqkOc4q9oUmW1yo/edit?usp=sharing"",""แม่ฮ่องสอน!I345"")"),20)</f>
        <v>20</v>
      </c>
      <c r="J450" s="188">
        <f ca="1">IFERROR(__xludf.DUMMYFUNCTION("IMPORTRANGE(""https://docs.google.com/spreadsheets/d/11923uPwbBZFjjGgGUA6NLw09EwE0CqkOc4q9oUmW1yo/edit?usp=sharing"",""แม่ฮ่องสอน!J345"")"),20)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IFERROR(__xludf.DUMMYFUNCTION("IMPORTRANGE(""https://docs.google.com/spreadsheets/d/11923uPwbBZFjjGgGUA6NLw09EwE0CqkOc4q9oUmW1yo/edit?usp=sharing"",""แม่ฮ่องสอน!I346"")"),0)</f>
        <v>0</v>
      </c>
      <c r="J451" s="187">
        <f ca="1">IFERROR(__xludf.DUMMYFUNCTION("IMPORTRANGE(""https://docs.google.com/spreadsheets/d/11923uPwbBZFjjGgGUA6NLw09EwE0CqkOc4q9oUmW1yo/edit?usp=sharing"",""แม่ฮ่องสอน!J346"")"),0)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IFERROR(__xludf.DUMMYFUNCTION("IMPORTRANGE(""https://docs.google.com/spreadsheets/d/11923uPwbBZFjjGgGUA6NLw09EwE0CqkOc4q9oUmW1yo/edit?usp=sharing"",""แม่ฮ่องสอน!I347"")"),0)</f>
        <v>0</v>
      </c>
      <c r="J452" s="187">
        <f ca="1">IFERROR(__xludf.DUMMYFUNCTION("IMPORTRANGE(""https://docs.google.com/spreadsheets/d/11923uPwbBZFjjGgGUA6NLw09EwE0CqkOc4q9oUmW1yo/edit?usp=sharing"",""แม่ฮ่องสอน!J347"")"),0)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IFERROR(__xludf.DUMMYFUNCTION("IMPORTRANGE(""https://docs.google.com/spreadsheets/d/11923uPwbBZFjjGgGUA6NLw09EwE0CqkOc4q9oUmW1yo/edit?usp=sharing"",""แม่ฮ่องสอน!J348"")"),1)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IFERROR(__xludf.DUMMYFUNCTION("IMPORTRANGE(""https://docs.google.com/spreadsheets/d/11923uPwbBZFjjGgGUA6NLw09EwE0CqkOc4q9oUmW1yo/edit?usp=sharing"",""แม่ฮ่องสอน!J349"")"),0)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IFERROR(__xludf.DUMMYFUNCTION("IMPORTRANGE(""https://docs.google.com/spreadsheets/d/11923uPwbBZFjjGgGUA6NLw09EwE0CqkOc4q9oUmW1yo/edit?usp=sharing"",""แม่ฮ่องสอน!I350"")"),4665)</f>
        <v>4665</v>
      </c>
      <c r="J455" s="370">
        <f ca="1">IFERROR(__xludf.DUMMYFUNCTION("IMPORTRANGE(""https://docs.google.com/spreadsheets/d/11923uPwbBZFjjGgGUA6NLw09EwE0CqkOc4q9oUmW1yo/edit?usp=sharing"",""แม่ฮ่องสอน!J350"")"),4665)</f>
        <v>4665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IFERROR(__xludf.DUMMYFUNCTION("IMPORTRANGE(""https://docs.google.com/spreadsheets/d/11923uPwbBZFjjGgGUA6NLw09EwE0CqkOc4q9oUmW1yo/edit?usp=sharing"",""แม่ฮ่องสอน!L350"")"),97593)</f>
        <v>97593</v>
      </c>
      <c r="M455" s="372"/>
      <c r="N455" s="372">
        <f ca="1">IFERROR(__xludf.DUMMYFUNCTION("IMPORTRANGE(""https://docs.google.com/spreadsheets/d/11923uPwbBZFjjGgGUA6NLw09EwE0CqkOc4q9oUmW1yo/edit?usp=sharing"",""แม่ฮ่องสอน!M350"")"),40255)</f>
        <v>40255</v>
      </c>
      <c r="O455" s="372">
        <f t="shared" ref="O455:O459" ca="1" si="116">+IF(L455&gt;0,N455*100/L455,0)</f>
        <v>41.247835398030595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IFERROR(__xludf.DUMMYFUNCTION("IMPORTRANGE(""https://docs.google.com/spreadsheets/d/11923uPwbBZFjjGgGUA6NLw09EwE0CqkOc4q9oUmW1yo/edit?usp=sharing"",""แม่ฮ่องสอน!L351"")"),0)</f>
        <v>0</v>
      </c>
      <c r="M456" s="164"/>
      <c r="N456" s="168">
        <f ca="1">IFERROR(__xludf.DUMMYFUNCTION("IMPORTRANGE(""https://docs.google.com/spreadsheets/d/11923uPwbBZFjjGgGUA6NLw09EwE0CqkOc4q9oUmW1yo/edit?usp=sharing"",""แม่ฮ่องสอน!M351"")"),0)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IFERROR(__xludf.DUMMYFUNCTION("IMPORTRANGE(""https://docs.google.com/spreadsheets/d/11923uPwbBZFjjGgGUA6NLw09EwE0CqkOc4q9oUmW1yo/edit?usp=sharing"",""แม่ฮ่องสอน!L352"")"),97593)</f>
        <v>97593</v>
      </c>
      <c r="M457" s="165"/>
      <c r="N457" s="168">
        <f ca="1">IFERROR(__xludf.DUMMYFUNCTION("IMPORTRANGE(""https://docs.google.com/spreadsheets/d/11923uPwbBZFjjGgGUA6NLw09EwE0CqkOc4q9oUmW1yo/edit?usp=sharing"",""แม่ฮ่องสอน!M352"")"),40255)</f>
        <v>40255</v>
      </c>
      <c r="O457" s="168">
        <f t="shared" ca="1" si="116"/>
        <v>41.247835398030595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IFERROR(__xludf.DUMMYFUNCTION("IMPORTRANGE(""https://docs.google.com/spreadsheets/d/11923uPwbBZFjjGgGUA6NLw09EwE0CqkOc4q9oUmW1yo/edit?usp=sharing"",""แม่ฮ่องสอน!L353"")"),0)</f>
        <v>0</v>
      </c>
      <c r="M458" s="168"/>
      <c r="N458" s="168">
        <f ca="1">IFERROR(__xludf.DUMMYFUNCTION("IMPORTRANGE(""https://docs.google.com/spreadsheets/d/11923uPwbBZFjjGgGUA6NLw09EwE0CqkOc4q9oUmW1yo/edit?usp=sharing"",""แม่ฮ่องสอน!M353"")"),0)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IFERROR(__xludf.DUMMYFUNCTION("IMPORTRANGE(""https://docs.google.com/spreadsheets/d/11923uPwbBZFjjGgGUA6NLw09EwE0CqkOc4q9oUmW1yo/edit?usp=sharing"",""แม่ฮ่องสอน!L354"")"),97593)</f>
        <v>97593</v>
      </c>
      <c r="M459" s="168"/>
      <c r="N459" s="168">
        <f ca="1">IFERROR(__xludf.DUMMYFUNCTION("IMPORTRANGE(""https://docs.google.com/spreadsheets/d/11923uPwbBZFjjGgGUA6NLw09EwE0CqkOc4q9oUmW1yo/edit?usp=sharing"",""แม่ฮ่องสอน!M354"")"),40255)</f>
        <v>40255</v>
      </c>
      <c r="O459" s="168">
        <f t="shared" ca="1" si="116"/>
        <v>41.247835398030595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IFERROR(__xludf.DUMMYFUNCTION("IMPORTRANGE(""https://docs.google.com/spreadsheets/d/11923uPwbBZFjjGgGUA6NLw09EwE0CqkOc4q9oUmW1yo/edit?usp=sharing"",""แม่ฮ่องสอน!M355"")"),0)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IFERROR(__xludf.DUMMYFUNCTION("IMPORTRANGE(""https://docs.google.com/spreadsheets/d/11923uPwbBZFjjGgGUA6NLw09EwE0CqkOc4q9oUmW1yo/edit?usp=sharing"",""แม่ฮ่องสอน!M356"")"),0)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IFERROR(__xludf.DUMMYFUNCTION("IMPORTRANGE(""https://docs.google.com/spreadsheets/d/11923uPwbBZFjjGgGUA6NLw09EwE0CqkOc4q9oUmW1yo/edit?usp=sharing"",""แม่ฮ่องสอน!M357"")"),0)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IFERROR(__xludf.DUMMYFUNCTION("IMPORTRANGE(""https://docs.google.com/spreadsheets/d/11923uPwbBZFjjGgGUA6NLw09EwE0CqkOc4q9oUmW1yo/edit?usp=sharing"",""แม่ฮ่องสอน!M358"")"),40255)</f>
        <v>40255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IFERROR(__xludf.DUMMYFUNCTION("IMPORTRANGE(""https://docs.google.com/spreadsheets/d/11923uPwbBZFjjGgGUA6NLw09EwE0CqkOc4q9oUmW1yo/edit?usp=sharing"",""แม่ฮ่องสอน!I359"")"),4665)</f>
        <v>4665</v>
      </c>
      <c r="J464" s="267">
        <f ca="1">IFERROR(__xludf.DUMMYFUNCTION("IMPORTRANGE(""https://docs.google.com/spreadsheets/d/11923uPwbBZFjjGgGUA6NLw09EwE0CqkOc4q9oUmW1yo/edit?usp=sharing"",""แม่ฮ่องสอน!J359"")"),4665)</f>
        <v>4665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IFERROR(__xludf.DUMMYFUNCTION("IMPORTRANGE(""https://docs.google.com/spreadsheets/d/11923uPwbBZFjjGgGUA6NLw09EwE0CqkOc4q9oUmW1yo/edit?usp=sharing"",""แม่ฮ่องสอน!I360"")"),4665)</f>
        <v>4665</v>
      </c>
      <c r="J465" s="420">
        <f ca="1">IFERROR(__xludf.DUMMYFUNCTION("IMPORTRANGE(""https://docs.google.com/spreadsheets/d/11923uPwbBZFjjGgGUA6NLw09EwE0CqkOc4q9oUmW1yo/edit?usp=sharing"",""แม่ฮ่องสอน!J360"")"),4665)</f>
        <v>4665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IFERROR(__xludf.DUMMYFUNCTION("IMPORTRANGE(""https://docs.google.com/spreadsheets/d/11923uPwbBZFjjGgGUA6NLw09EwE0CqkOc4q9oUmW1yo/edit?usp=sharing"",""แม่ฮ่องสอน!I361"")"),1134)</f>
        <v>1134</v>
      </c>
      <c r="J466" s="420">
        <f ca="1">IFERROR(__xludf.DUMMYFUNCTION("IMPORTRANGE(""https://docs.google.com/spreadsheets/d/11923uPwbBZFjjGgGUA6NLw09EwE0CqkOc4q9oUmW1yo/edit?usp=sharing"",""แม่ฮ่องสอน!J361"")"),1134)</f>
        <v>1134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IFERROR(__xludf.DUMMYFUNCTION("IMPORTRANGE(""https://docs.google.com/spreadsheets/d/11923uPwbBZFjjGgGUA6NLw09EwE0CqkOc4q9oUmW1yo/edit?usp=sharing"",""แม่ฮ่องสอน!I362"")"),0)</f>
        <v>0</v>
      </c>
      <c r="J467" s="188">
        <f ca="1">IFERROR(__xludf.DUMMYFUNCTION("IMPORTRANGE(""https://docs.google.com/spreadsheets/d/11923uPwbBZFjjGgGUA6NLw09EwE0CqkOc4q9oUmW1yo/edit?usp=sharing"",""แม่ฮ่องสอน!J362"")"),4581)</f>
        <v>4581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IFERROR(__xludf.DUMMYFUNCTION("IMPORTRANGE(""https://docs.google.com/spreadsheets/d/11923uPwbBZFjjGgGUA6NLw09EwE0CqkOc4q9oUmW1yo/edit?usp=sharing"",""แม่ฮ่องสอน!I363"")"),0)</f>
        <v>0</v>
      </c>
      <c r="J468" s="188">
        <f ca="1">IFERROR(__xludf.DUMMYFUNCTION("IMPORTRANGE(""https://docs.google.com/spreadsheets/d/11923uPwbBZFjjGgGUA6NLw09EwE0CqkOc4q9oUmW1yo/edit?usp=sharing"",""แม่ฮ่องสอน!J363"")"),1123)</f>
        <v>1123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IFERROR(__xludf.DUMMYFUNCTION("IMPORTRANGE(""https://docs.google.com/spreadsheets/d/11923uPwbBZFjjGgGUA6NLw09EwE0CqkOc4q9oUmW1yo/edit?usp=sharing"",""แม่ฮ่องสอน!I364"")"),0)</f>
        <v>0</v>
      </c>
      <c r="J469" s="188">
        <f ca="1">IFERROR(__xludf.DUMMYFUNCTION("IMPORTRANGE(""https://docs.google.com/spreadsheets/d/11923uPwbBZFjjGgGUA6NLw09EwE0CqkOc4q9oUmW1yo/edit?usp=sharing"",""แม่ฮ่องสอน!J364"")"),66)</f>
        <v>66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IFERROR(__xludf.DUMMYFUNCTION("IMPORTRANGE(""https://docs.google.com/spreadsheets/d/11923uPwbBZFjjGgGUA6NLw09EwE0CqkOc4q9oUmW1yo/edit?usp=sharing"",""แม่ฮ่องสอน!I365"")"),0)</f>
        <v>0</v>
      </c>
      <c r="J470" s="188">
        <f ca="1">IFERROR(__xludf.DUMMYFUNCTION("IMPORTRANGE(""https://docs.google.com/spreadsheets/d/11923uPwbBZFjjGgGUA6NLw09EwE0CqkOc4q9oUmW1yo/edit?usp=sharing"",""แม่ฮ่องสอน!J365"")"),7)</f>
        <v>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IFERROR(__xludf.DUMMYFUNCTION("IMPORTRANGE(""https://docs.google.com/spreadsheets/d/11923uPwbBZFjjGgGUA6NLw09EwE0CqkOc4q9oUmW1yo/edit?usp=sharing"",""แม่ฮ่องสอน!I366"")"),0)</f>
        <v>0</v>
      </c>
      <c r="J471" s="188">
        <f ca="1">IFERROR(__xludf.DUMMYFUNCTION("IMPORTRANGE(""https://docs.google.com/spreadsheets/d/11923uPwbBZFjjGgGUA6NLw09EwE0CqkOc4q9oUmW1yo/edit?usp=sharing"",""แม่ฮ่องสอน!J366"")"),18)</f>
        <v>18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IFERROR(__xludf.DUMMYFUNCTION("IMPORTRANGE(""https://docs.google.com/spreadsheets/d/11923uPwbBZFjjGgGUA6NLw09EwE0CqkOc4q9oUmW1yo/edit?usp=sharing"",""แม่ฮ่องสอน!I367"")"),0)</f>
        <v>0</v>
      </c>
      <c r="J472" s="188">
        <f ca="1">IFERROR(__xludf.DUMMYFUNCTION("IMPORTRANGE(""https://docs.google.com/spreadsheets/d/11923uPwbBZFjjGgGUA6NLw09EwE0CqkOc4q9oUmW1yo/edit?usp=sharing"",""แม่ฮ่องสอน!J367"")"),4)</f>
        <v>4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IFERROR(__xludf.DUMMYFUNCTION("IMPORTRANGE(""https://docs.google.com/spreadsheets/d/11923uPwbBZFjjGgGUA6NLw09EwE0CqkOc4q9oUmW1yo/edit?usp=sharing"",""แม่ฮ่องสอน!I368"")"),4665)</f>
        <v>4665</v>
      </c>
      <c r="J473" s="420">
        <f ca="1">IFERROR(__xludf.DUMMYFUNCTION("IMPORTRANGE(""https://docs.google.com/spreadsheets/d/11923uPwbBZFjjGgGUA6NLw09EwE0CqkOc4q9oUmW1yo/edit?usp=sharing"",""แม่ฮ่องสอน!J368"")"),4665)</f>
        <v>4665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IFERROR(__xludf.DUMMYFUNCTION("IMPORTRANGE(""https://docs.google.com/spreadsheets/d/11923uPwbBZFjjGgGUA6NLw09EwE0CqkOc4q9oUmW1yo/edit?usp=sharing"",""แม่ฮ่องสอน!I369"")"),1134)</f>
        <v>1134</v>
      </c>
      <c r="J474" s="420">
        <f ca="1">IFERROR(__xludf.DUMMYFUNCTION("IMPORTRANGE(""https://docs.google.com/spreadsheets/d/11923uPwbBZFjjGgGUA6NLw09EwE0CqkOc4q9oUmW1yo/edit?usp=sharing"",""แม่ฮ่องสอน!J369"")"),1134)</f>
        <v>1134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IFERROR(__xludf.DUMMYFUNCTION("IMPORTRANGE(""https://docs.google.com/spreadsheets/d/11923uPwbBZFjjGgGUA6NLw09EwE0CqkOc4q9oUmW1yo/edit?usp=sharing"",""แม่ฮ่องสอน!I370"")"),0)</f>
        <v>0</v>
      </c>
      <c r="J475" s="188">
        <f ca="1">IFERROR(__xludf.DUMMYFUNCTION("IMPORTRANGE(""https://docs.google.com/spreadsheets/d/11923uPwbBZFjjGgGUA6NLw09EwE0CqkOc4q9oUmW1yo/edit?usp=sharing"",""แม่ฮ่องสอน!J370"")"),4634)</f>
        <v>4634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IFERROR(__xludf.DUMMYFUNCTION("IMPORTRANGE(""https://docs.google.com/spreadsheets/d/11923uPwbBZFjjGgGUA6NLw09EwE0CqkOc4q9oUmW1yo/edit?usp=sharing"",""แม่ฮ่องสอน!I371"")"),0)</f>
        <v>0</v>
      </c>
      <c r="J476" s="188">
        <f ca="1">IFERROR(__xludf.DUMMYFUNCTION("IMPORTRANGE(""https://docs.google.com/spreadsheets/d/11923uPwbBZFjjGgGUA6NLw09EwE0CqkOc4q9oUmW1yo/edit?usp=sharing"",""แม่ฮ่องสอน!J371"")"),1122)</f>
        <v>1122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IFERROR(__xludf.DUMMYFUNCTION("IMPORTRANGE(""https://docs.google.com/spreadsheets/d/11923uPwbBZFjjGgGUA6NLw09EwE0CqkOc4q9oUmW1yo/edit?usp=sharing"",""แม่ฮ่องสอน!I372"")"),0)</f>
        <v>0</v>
      </c>
      <c r="J477" s="188">
        <f ca="1">IFERROR(__xludf.DUMMYFUNCTION("IMPORTRANGE(""https://docs.google.com/spreadsheets/d/11923uPwbBZFjjGgGUA6NLw09EwE0CqkOc4q9oUmW1yo/edit?usp=sharing"",""แม่ฮ่องสอน!J372"")"),13)</f>
        <v>13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IFERROR(__xludf.DUMMYFUNCTION("IMPORTRANGE(""https://docs.google.com/spreadsheets/d/11923uPwbBZFjjGgGUA6NLw09EwE0CqkOc4q9oUmW1yo/edit?usp=sharing"",""แม่ฮ่องสอน!I373"")"),0)</f>
        <v>0</v>
      </c>
      <c r="J478" s="188">
        <f ca="1">IFERROR(__xludf.DUMMYFUNCTION("IMPORTRANGE(""https://docs.google.com/spreadsheets/d/11923uPwbBZFjjGgGUA6NLw09EwE0CqkOc4q9oUmW1yo/edit?usp=sharing"",""แม่ฮ่องสอน!J373"")"),8)</f>
        <v>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IFERROR(__xludf.DUMMYFUNCTION("IMPORTRANGE(""https://docs.google.com/spreadsheets/d/11923uPwbBZFjjGgGUA6NLw09EwE0CqkOc4q9oUmW1yo/edit?usp=sharing"",""แม่ฮ่องสอน!I374"")"),0)</f>
        <v>0</v>
      </c>
      <c r="J479" s="188">
        <f ca="1">IFERROR(__xludf.DUMMYFUNCTION("IMPORTRANGE(""https://docs.google.com/spreadsheets/d/11923uPwbBZFjjGgGUA6NLw09EwE0CqkOc4q9oUmW1yo/edit?usp=sharing"",""แม่ฮ่องสอน!J374"")"),18)</f>
        <v>18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IFERROR(__xludf.DUMMYFUNCTION("IMPORTRANGE(""https://docs.google.com/spreadsheets/d/11923uPwbBZFjjGgGUA6NLw09EwE0CqkOc4q9oUmW1yo/edit?usp=sharing"",""แม่ฮ่องสอน!I375"")"),0)</f>
        <v>0</v>
      </c>
      <c r="J480" s="188">
        <f ca="1">IFERROR(__xludf.DUMMYFUNCTION("IMPORTRANGE(""https://docs.google.com/spreadsheets/d/11923uPwbBZFjjGgGUA6NLw09EwE0CqkOc4q9oUmW1yo/edit?usp=sharing"",""แม่ฮ่องสอน!J375"")"),4)</f>
        <v>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IFERROR(__xludf.DUMMYFUNCTION("IMPORTRANGE(""https://docs.google.com/spreadsheets/d/11923uPwbBZFjjGgGUA6NLw09EwE0CqkOc4q9oUmW1yo/edit?usp=sharing"",""แม่ฮ่องสอน!I376"")"),4665)</f>
        <v>4665</v>
      </c>
      <c r="J481" s="420">
        <f ca="1">IFERROR(__xludf.DUMMYFUNCTION("IMPORTRANGE(""https://docs.google.com/spreadsheets/d/11923uPwbBZFjjGgGUA6NLw09EwE0CqkOc4q9oUmW1yo/edit?usp=sharing"",""แม่ฮ่องสอน!J376"")"),4665)</f>
        <v>4665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IFERROR(__xludf.DUMMYFUNCTION("IMPORTRANGE(""https://docs.google.com/spreadsheets/d/11923uPwbBZFjjGgGUA6NLw09EwE0CqkOc4q9oUmW1yo/edit?usp=sharing"",""แม่ฮ่องสอน!I377"")"),1134)</f>
        <v>1134</v>
      </c>
      <c r="J482" s="420">
        <f ca="1">IFERROR(__xludf.DUMMYFUNCTION("IMPORTRANGE(""https://docs.google.com/spreadsheets/d/11923uPwbBZFjjGgGUA6NLw09EwE0CqkOc4q9oUmW1yo/edit?usp=sharing"",""แม่ฮ่องสอน!J377"")"),1134)</f>
        <v>1134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IFERROR(__xludf.DUMMYFUNCTION("IMPORTRANGE(""https://docs.google.com/spreadsheets/d/11923uPwbBZFjjGgGUA6NLw09EwE0CqkOc4q9oUmW1yo/edit?usp=sharing"",""แม่ฮ่องสอน!I378"")"),0)</f>
        <v>0</v>
      </c>
      <c r="J483" s="188">
        <f ca="1">IFERROR(__xludf.DUMMYFUNCTION("IMPORTRANGE(""https://docs.google.com/spreadsheets/d/11923uPwbBZFjjGgGUA6NLw09EwE0CqkOc4q9oUmW1yo/edit?usp=sharing"",""แม่ฮ่องสอน!J378"")"),4634)</f>
        <v>4634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IFERROR(__xludf.DUMMYFUNCTION("IMPORTRANGE(""https://docs.google.com/spreadsheets/d/11923uPwbBZFjjGgGUA6NLw09EwE0CqkOc4q9oUmW1yo/edit?usp=sharing"",""แม่ฮ่องสอน!I379"")"),0)</f>
        <v>0</v>
      </c>
      <c r="J484" s="188">
        <f ca="1">IFERROR(__xludf.DUMMYFUNCTION("IMPORTRANGE(""https://docs.google.com/spreadsheets/d/11923uPwbBZFjjGgGUA6NLw09EwE0CqkOc4q9oUmW1yo/edit?usp=sharing"",""แม่ฮ่องสอน!J379"")"),1122)</f>
        <v>1122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IFERROR(__xludf.DUMMYFUNCTION("IMPORTRANGE(""https://docs.google.com/spreadsheets/d/11923uPwbBZFjjGgGUA6NLw09EwE0CqkOc4q9oUmW1yo/edit?usp=sharing"",""แม่ฮ่องสอน!I380"")"),0)</f>
        <v>0</v>
      </c>
      <c r="J485" s="188">
        <f ca="1">IFERROR(__xludf.DUMMYFUNCTION("IMPORTRANGE(""https://docs.google.com/spreadsheets/d/11923uPwbBZFjjGgGUA6NLw09EwE0CqkOc4q9oUmW1yo/edit?usp=sharing"",""แม่ฮ่องสอน!J380"")"),13)</f>
        <v>13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IFERROR(__xludf.DUMMYFUNCTION("IMPORTRANGE(""https://docs.google.com/spreadsheets/d/11923uPwbBZFjjGgGUA6NLw09EwE0CqkOc4q9oUmW1yo/edit?usp=sharing"",""แม่ฮ่องสอน!I381"")"),0)</f>
        <v>0</v>
      </c>
      <c r="J486" s="188">
        <f ca="1">IFERROR(__xludf.DUMMYFUNCTION("IMPORTRANGE(""https://docs.google.com/spreadsheets/d/11923uPwbBZFjjGgGUA6NLw09EwE0CqkOc4q9oUmW1yo/edit?usp=sharing"",""แม่ฮ่องสอน!J381"")"),8)</f>
        <v>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IFERROR(__xludf.DUMMYFUNCTION("IMPORTRANGE(""https://docs.google.com/spreadsheets/d/11923uPwbBZFjjGgGUA6NLw09EwE0CqkOc4q9oUmW1yo/edit?usp=sharing"",""แม่ฮ่องสอน!I382"")"),0)</f>
        <v>0</v>
      </c>
      <c r="J487" s="420">
        <f ca="1">IFERROR(__xludf.DUMMYFUNCTION("IMPORTRANGE(""https://docs.google.com/spreadsheets/d/11923uPwbBZFjjGgGUA6NLw09EwE0CqkOc4q9oUmW1yo/edit?usp=sharing"",""แม่ฮ่องสอน!J382"")"),18)</f>
        <v>18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IFERROR(__xludf.DUMMYFUNCTION("IMPORTRANGE(""https://docs.google.com/spreadsheets/d/11923uPwbBZFjjGgGUA6NLw09EwE0CqkOc4q9oUmW1yo/edit?usp=sharing"",""แม่ฮ่องสอน!I383"")"),0)</f>
        <v>0</v>
      </c>
      <c r="J488" s="420">
        <f ca="1">IFERROR(__xludf.DUMMYFUNCTION("IMPORTRANGE(""https://docs.google.com/spreadsheets/d/11923uPwbBZFjjGgGUA6NLw09EwE0CqkOc4q9oUmW1yo/edit?usp=sharing"",""แม่ฮ่องสอน!J383"")"),4)</f>
        <v>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IFERROR(__xludf.DUMMYFUNCTION("IMPORTRANGE(""https://docs.google.com/spreadsheets/d/11923uPwbBZFjjGgGUA6NLw09EwE0CqkOc4q9oUmW1yo/edit?usp=sharing"",""แม่ฮ่องสอน!I384"")"),0)</f>
        <v>0</v>
      </c>
      <c r="J489" s="188">
        <f ca="1">IFERROR(__xludf.DUMMYFUNCTION("IMPORTRANGE(""https://docs.google.com/spreadsheets/d/11923uPwbBZFjjGgGUA6NLw09EwE0CqkOc4q9oUmW1yo/edit?usp=sharing"",""แม่ฮ่องสอน!J384"")"),18)</f>
        <v>18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IFERROR(__xludf.DUMMYFUNCTION("IMPORTRANGE(""https://docs.google.com/spreadsheets/d/11923uPwbBZFjjGgGUA6NLw09EwE0CqkOc4q9oUmW1yo/edit?usp=sharing"",""แม่ฮ่องสอน!I385"")"),0)</f>
        <v>0</v>
      </c>
      <c r="J490" s="188">
        <f ca="1">IFERROR(__xludf.DUMMYFUNCTION("IMPORTRANGE(""https://docs.google.com/spreadsheets/d/11923uPwbBZFjjGgGUA6NLw09EwE0CqkOc4q9oUmW1yo/edit?usp=sharing"",""แม่ฮ่องสอน!J385"")"),4)</f>
        <v>4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IFERROR(__xludf.DUMMYFUNCTION("IMPORTRANGE(""https://docs.google.com/spreadsheets/d/11923uPwbBZFjjGgGUA6NLw09EwE0CqkOc4q9oUmW1yo/edit?usp=sharing"",""แม่ฮ่องสอน!I386"")"),0)</f>
        <v>0</v>
      </c>
      <c r="J491" s="188">
        <f ca="1">IFERROR(__xludf.DUMMYFUNCTION("IMPORTRANGE(""https://docs.google.com/spreadsheets/d/11923uPwbBZFjjGgGUA6NLw09EwE0CqkOc4q9oUmW1yo/edit?usp=sharing"",""แม่ฮ่องสอน!J386"")"),0)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IFERROR(__xludf.DUMMYFUNCTION("IMPORTRANGE(""https://docs.google.com/spreadsheets/d/11923uPwbBZFjjGgGUA6NLw09EwE0CqkOc4q9oUmW1yo/edit?usp=sharing"",""แม่ฮ่องสอน!I387"")"),0)</f>
        <v>0</v>
      </c>
      <c r="J492" s="188">
        <f ca="1">IFERROR(__xludf.DUMMYFUNCTION("IMPORTRANGE(""https://docs.google.com/spreadsheets/d/11923uPwbBZFjjGgGUA6NLw09EwE0CqkOc4q9oUmW1yo/edit?usp=sharing"",""แม่ฮ่องสอน!J387"")"),0)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IFERROR(__xludf.DUMMYFUNCTION("IMPORTRANGE(""https://docs.google.com/spreadsheets/d/11923uPwbBZFjjGgGUA6NLw09EwE0CqkOc4q9oUmW1yo/edit?usp=sharing"",""แม่ฮ่องสอน!I388"")"),0)</f>
        <v>0</v>
      </c>
      <c r="J493" s="188">
        <f ca="1">IFERROR(__xludf.DUMMYFUNCTION("IMPORTRANGE(""https://docs.google.com/spreadsheets/d/11923uPwbBZFjjGgGUA6NLw09EwE0CqkOc4q9oUmW1yo/edit?usp=sharing"",""แม่ฮ่องสอน!J388"")"),0)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IFERROR(__xludf.DUMMYFUNCTION("IMPORTRANGE(""https://docs.google.com/spreadsheets/d/11923uPwbBZFjjGgGUA6NLw09EwE0CqkOc4q9oUmW1yo/edit?usp=sharing"",""แม่ฮ่องสอน!I389"")"),0)</f>
        <v>0</v>
      </c>
      <c r="J494" s="436">
        <f ca="1">IFERROR(__xludf.DUMMYFUNCTION("IMPORTRANGE(""https://docs.google.com/spreadsheets/d/11923uPwbBZFjjGgGUA6NLw09EwE0CqkOc4q9oUmW1yo/edit?usp=sharing"",""แม่ฮ่องสอน!J389"")"),0)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IFERROR(__xludf.DUMMYFUNCTION("IMPORTRANGE(""https://docs.google.com/spreadsheets/d/11923uPwbBZFjjGgGUA6NLw09EwE0CqkOc4q9oUmW1yo/edit?usp=sharing"",""แม่ฮ่องสอน!I390"")"),0)</f>
        <v>0</v>
      </c>
      <c r="J495" s="436">
        <f ca="1">IFERROR(__xludf.DUMMYFUNCTION("IMPORTRANGE(""https://docs.google.com/spreadsheets/d/11923uPwbBZFjjGgGUA6NLw09EwE0CqkOc4q9oUmW1yo/edit?usp=sharing"",""แม่ฮ่องสอน!J390"")"),0)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IFERROR(__xludf.DUMMYFUNCTION("IMPORTRANGE(""https://docs.google.com/spreadsheets/d/11923uPwbBZFjjGgGUA6NLw09EwE0CqkOc4q9oUmW1yo/edit?usp=sharing"",""แม่ฮ่องสอน!I391"")"),0)</f>
        <v>0</v>
      </c>
      <c r="J496" s="436">
        <f ca="1">IFERROR(__xludf.DUMMYFUNCTION("IMPORTRANGE(""https://docs.google.com/spreadsheets/d/11923uPwbBZFjjGgGUA6NLw09EwE0CqkOc4q9oUmW1yo/edit?usp=sharing"",""แม่ฮ่องสอน!J391"")"),0)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IFERROR(__xludf.DUMMYFUNCTION("IMPORTRANGE(""https://docs.google.com/spreadsheets/d/11923uPwbBZFjjGgGUA6NLw09EwE0CqkOc4q9oUmW1yo/edit?usp=sharing"",""แม่ฮ่องสอน!I392"")"),21)</f>
        <v>21</v>
      </c>
      <c r="J497" s="443">
        <f ca="1">IFERROR(__xludf.DUMMYFUNCTION("IMPORTRANGE(""https://docs.google.com/spreadsheets/d/11923uPwbBZFjjGgGUA6NLw09EwE0CqkOc4q9oUmW1yo/edit?usp=sharing"",""แม่ฮ่องสอน!J392"")"),21)</f>
        <v>21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IFERROR(__xludf.DUMMYFUNCTION("IMPORTRANGE(""https://docs.google.com/spreadsheets/d/11923uPwbBZFjjGgGUA6NLw09EwE0CqkOc4q9oUmW1yo/edit?usp=sharing"",""แม่ฮ่องสอน!I393"")"),21)</f>
        <v>21</v>
      </c>
      <c r="J498" s="420">
        <f ca="1">IFERROR(__xludf.DUMMYFUNCTION("IMPORTRANGE(""https://docs.google.com/spreadsheets/d/11923uPwbBZFjjGgGUA6NLw09EwE0CqkOc4q9oUmW1yo/edit?usp=sharing"",""แม่ฮ่องสอน!J393"")"),21)</f>
        <v>21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IFERROR(__xludf.DUMMYFUNCTION("IMPORTRANGE(""https://docs.google.com/spreadsheets/d/11923uPwbBZFjjGgGUA6NLw09EwE0CqkOc4q9oUmW1yo/edit?usp=sharing"",""แม่ฮ่องสอน!I394"")"),7)</f>
        <v>7</v>
      </c>
      <c r="J499" s="420">
        <f ca="1">IFERROR(__xludf.DUMMYFUNCTION("IMPORTRANGE(""https://docs.google.com/spreadsheets/d/11923uPwbBZFjjGgGUA6NLw09EwE0CqkOc4q9oUmW1yo/edit?usp=sharing"",""แม่ฮ่องสอน!J394"")"),7)</f>
        <v>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IFERROR(__xludf.DUMMYFUNCTION("IMPORTRANGE(""https://docs.google.com/spreadsheets/d/11923uPwbBZFjjGgGUA6NLw09EwE0CqkOc4q9oUmW1yo/edit?usp=sharing"",""แม่ฮ่องสอน!I395"")"),0)</f>
        <v>0</v>
      </c>
      <c r="J500" s="162">
        <f ca="1">IFERROR(__xludf.DUMMYFUNCTION("IMPORTRANGE(""https://docs.google.com/spreadsheets/d/11923uPwbBZFjjGgGUA6NLw09EwE0CqkOc4q9oUmW1yo/edit?usp=sharing"",""แม่ฮ่องสอน!J395"")"),16)</f>
        <v>16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IFERROR(__xludf.DUMMYFUNCTION("IMPORTRANGE(""https://docs.google.com/spreadsheets/d/11923uPwbBZFjjGgGUA6NLw09EwE0CqkOc4q9oUmW1yo/edit?usp=sharing"",""แม่ฮ่องสอน!I396"")"),0)</f>
        <v>0</v>
      </c>
      <c r="J501" s="162">
        <f ca="1">IFERROR(__xludf.DUMMYFUNCTION("IMPORTRANGE(""https://docs.google.com/spreadsheets/d/11923uPwbBZFjjGgGUA6NLw09EwE0CqkOc4q9oUmW1yo/edit?usp=sharing"",""แม่ฮ่องสอน!J396"")"),4)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IFERROR(__xludf.DUMMYFUNCTION("IMPORTRANGE(""https://docs.google.com/spreadsheets/d/11923uPwbBZFjjGgGUA6NLw09EwE0CqkOc4q9oUmW1yo/edit?usp=sharing"",""แม่ฮ่องสอน!I397"")"),0)</f>
        <v>0</v>
      </c>
      <c r="J502" s="188">
        <f ca="1">IFERROR(__xludf.DUMMYFUNCTION("IMPORTRANGE(""https://docs.google.com/spreadsheets/d/11923uPwbBZFjjGgGUA6NLw09EwE0CqkOc4q9oUmW1yo/edit?usp=sharing"",""แม่ฮ่องสอน!J397"")"),4)</f>
        <v>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IFERROR(__xludf.DUMMYFUNCTION("IMPORTRANGE(""https://docs.google.com/spreadsheets/d/11923uPwbBZFjjGgGUA6NLw09EwE0CqkOc4q9oUmW1yo/edit?usp=sharing"",""แม่ฮ่องสอน!I398"")"),0)</f>
        <v>0</v>
      </c>
      <c r="J503" s="197">
        <f ca="1">IFERROR(__xludf.DUMMYFUNCTION("IMPORTRANGE(""https://docs.google.com/spreadsheets/d/11923uPwbBZFjjGgGUA6NLw09EwE0CqkOc4q9oUmW1yo/edit?usp=sharing"",""แม่ฮ่องสอน!J398"")"),1)</f>
        <v>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IFERROR(__xludf.DUMMYFUNCTION("IMPORTRANGE(""https://docs.google.com/spreadsheets/d/11923uPwbBZFjjGgGUA6NLw09EwE0CqkOc4q9oUmW1yo/edit?usp=sharing"",""แม่ฮ่องสอน!I399"")"),0)</f>
        <v>0</v>
      </c>
      <c r="J504" s="188">
        <f ca="1">IFERROR(__xludf.DUMMYFUNCTION("IMPORTRANGE(""https://docs.google.com/spreadsheets/d/11923uPwbBZFjjGgGUA6NLw09EwE0CqkOc4q9oUmW1yo/edit?usp=sharing"",""แม่ฮ่องสอน!J399"")"),12)</f>
        <v>12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IFERROR(__xludf.DUMMYFUNCTION("IMPORTRANGE(""https://docs.google.com/spreadsheets/d/11923uPwbBZFjjGgGUA6NLw09EwE0CqkOc4q9oUmW1yo/edit?usp=sharing"",""แม่ฮ่องสอน!I400"")"),0)</f>
        <v>0</v>
      </c>
      <c r="J505" s="197">
        <f ca="1">IFERROR(__xludf.DUMMYFUNCTION("IMPORTRANGE(""https://docs.google.com/spreadsheets/d/11923uPwbBZFjjGgGUA6NLw09EwE0CqkOc4q9oUmW1yo/edit?usp=sharing"",""แม่ฮ่องสอน!J400"")"),3)</f>
        <v>3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IFERROR(__xludf.DUMMYFUNCTION("IMPORTRANGE(""https://docs.google.com/spreadsheets/d/11923uPwbBZFjjGgGUA6NLw09EwE0CqkOc4q9oUmW1yo/edit?usp=sharing"",""แม่ฮ่องสอน!I401"")"),0)</f>
        <v>0</v>
      </c>
      <c r="J506" s="188">
        <f ca="1">IFERROR(__xludf.DUMMYFUNCTION("IMPORTRANGE(""https://docs.google.com/spreadsheets/d/11923uPwbBZFjjGgGUA6NLw09EwE0CqkOc4q9oUmW1yo/edit?usp=sharing"",""แม่ฮ่องสอน!J401"")"),0)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IFERROR(__xludf.DUMMYFUNCTION("IMPORTRANGE(""https://docs.google.com/spreadsheets/d/11923uPwbBZFjjGgGUA6NLw09EwE0CqkOc4q9oUmW1yo/edit?usp=sharing"",""แม่ฮ่องสอน!I402"")"),0)</f>
        <v>0</v>
      </c>
      <c r="J507" s="197">
        <f ca="1">IFERROR(__xludf.DUMMYFUNCTION("IMPORTRANGE(""https://docs.google.com/spreadsheets/d/11923uPwbBZFjjGgGUA6NLw09EwE0CqkOc4q9oUmW1yo/edit?usp=sharing"",""แม่ฮ่องสอน!J402"")"),0)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IFERROR(__xludf.DUMMYFUNCTION("IMPORTRANGE(""https://docs.google.com/spreadsheets/d/11923uPwbBZFjjGgGUA6NLw09EwE0CqkOc4q9oUmW1yo/edit?usp=sharing"",""แม่ฮ่องสอน!I403"")"),0)</f>
        <v>0</v>
      </c>
      <c r="J508" s="162">
        <f ca="1">IFERROR(__xludf.DUMMYFUNCTION("IMPORTRANGE(""https://docs.google.com/spreadsheets/d/11923uPwbBZFjjGgGUA6NLw09EwE0CqkOc4q9oUmW1yo/edit?usp=sharing"",""แม่ฮ่องสอน!J403"")"),5)</f>
        <v>5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IFERROR(__xludf.DUMMYFUNCTION("IMPORTRANGE(""https://docs.google.com/spreadsheets/d/11923uPwbBZFjjGgGUA6NLw09EwE0CqkOc4q9oUmW1yo/edit?usp=sharing"",""แม่ฮ่องสอน!I404"")"),0)</f>
        <v>0</v>
      </c>
      <c r="J509" s="162">
        <f ca="1">IFERROR(__xludf.DUMMYFUNCTION("IMPORTRANGE(""https://docs.google.com/spreadsheets/d/11923uPwbBZFjjGgGUA6NLw09EwE0CqkOc4q9oUmW1yo/edit?usp=sharing"",""แม่ฮ่องสอน!J404"")"),3)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IFERROR(__xludf.DUMMYFUNCTION("IMPORTRANGE(""https://docs.google.com/spreadsheets/d/11923uPwbBZFjjGgGUA6NLw09EwE0CqkOc4q9oUmW1yo/edit?usp=sharing"",""แม่ฮ่องสอน!I405"")"),0)</f>
        <v>0</v>
      </c>
      <c r="J510" s="197">
        <f ca="1">IFERROR(__xludf.DUMMYFUNCTION("IMPORTRANGE(""https://docs.google.com/spreadsheets/d/11923uPwbBZFjjGgGUA6NLw09EwE0CqkOc4q9oUmW1yo/edit?usp=sharing"",""แม่ฮ่องสอน!J405"")"),0)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IFERROR(__xludf.DUMMYFUNCTION("IMPORTRANGE(""https://docs.google.com/spreadsheets/d/11923uPwbBZFjjGgGUA6NLw09EwE0CqkOc4q9oUmW1yo/edit?usp=sharing"",""แม่ฮ่องสอน!I406"")"),0)</f>
        <v>0</v>
      </c>
      <c r="J511" s="197">
        <f ca="1">IFERROR(__xludf.DUMMYFUNCTION("IMPORTRANGE(""https://docs.google.com/spreadsheets/d/11923uPwbBZFjjGgGUA6NLw09EwE0CqkOc4q9oUmW1yo/edit?usp=sharing"",""แม่ฮ่องสอน!J406"")"),0)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IFERROR(__xludf.DUMMYFUNCTION("IMPORTRANGE(""https://docs.google.com/spreadsheets/d/11923uPwbBZFjjGgGUA6NLw09EwE0CqkOc4q9oUmW1yo/edit?usp=sharing"",""แม่ฮ่องสอน!I407"")"),0)</f>
        <v>0</v>
      </c>
      <c r="J512" s="197">
        <f ca="1">IFERROR(__xludf.DUMMYFUNCTION("IMPORTRANGE(""https://docs.google.com/spreadsheets/d/11923uPwbBZFjjGgGUA6NLw09EwE0CqkOc4q9oUmW1yo/edit?usp=sharing"",""แม่ฮ่องสอน!J407"")"),5)</f>
        <v>5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IFERROR(__xludf.DUMMYFUNCTION("IMPORTRANGE(""https://docs.google.com/spreadsheets/d/11923uPwbBZFjjGgGUA6NLw09EwE0CqkOc4q9oUmW1yo/edit?usp=sharing"",""แม่ฮ่องสอน!I408"")"),0)</f>
        <v>0</v>
      </c>
      <c r="J513" s="197">
        <f ca="1">IFERROR(__xludf.DUMMYFUNCTION("IMPORTRANGE(""https://docs.google.com/spreadsheets/d/11923uPwbBZFjjGgGUA6NLw09EwE0CqkOc4q9oUmW1yo/edit?usp=sharing"",""แม่ฮ่องสอน!J408"")"),3)</f>
        <v>3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IFERROR(__xludf.DUMMYFUNCTION("IMPORTRANGE(""https://docs.google.com/spreadsheets/d/11923uPwbBZFjjGgGUA6NLw09EwE0CqkOc4q9oUmW1yo/edit?usp=sharing"",""แม่ฮ่องสอน!I409"")"),0)</f>
        <v>0</v>
      </c>
      <c r="J514" s="197">
        <f ca="1">IFERROR(__xludf.DUMMYFUNCTION("IMPORTRANGE(""https://docs.google.com/spreadsheets/d/11923uPwbBZFjjGgGUA6NLw09EwE0CqkOc4q9oUmW1yo/edit?usp=sharing"",""แม่ฮ่องสอน!J409"")"),0)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IFERROR(__xludf.DUMMYFUNCTION("IMPORTRANGE(""https://docs.google.com/spreadsheets/d/11923uPwbBZFjjGgGUA6NLw09EwE0CqkOc4q9oUmW1yo/edit?usp=sharing"",""แม่ฮ่องสอน!I410"")"),0)</f>
        <v>0</v>
      </c>
      <c r="J515" s="197">
        <f ca="1">IFERROR(__xludf.DUMMYFUNCTION("IMPORTRANGE(""https://docs.google.com/spreadsheets/d/11923uPwbBZFjjGgGUA6NLw09EwE0CqkOc4q9oUmW1yo/edit?usp=sharing"",""แม่ฮ่องสอน!J410"")"),0)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IFERROR(__xludf.DUMMYFUNCTION("IMPORTRANGE(""https://docs.google.com/spreadsheets/d/11923uPwbBZFjjGgGUA6NLw09EwE0CqkOc4q9oUmW1yo/edit?usp=sharing"",""แม่ฮ่องสอน!I411"")"),0)</f>
        <v>0</v>
      </c>
      <c r="J516" s="267">
        <f ca="1">IFERROR(__xludf.DUMMYFUNCTION("IMPORTRANGE(""https://docs.google.com/spreadsheets/d/11923uPwbBZFjjGgGUA6NLw09EwE0CqkOc4q9oUmW1yo/edit?usp=sharing"",""แม่ฮ่องสอน!J411"")"),0)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IFERROR(__xludf.DUMMYFUNCTION("IMPORTRANGE(""https://docs.google.com/spreadsheets/d/11923uPwbBZFjjGgGUA6NLw09EwE0CqkOc4q9oUmW1yo/edit?usp=sharing"",""แม่ฮ่องสอน!I412"")"),0)</f>
        <v>0</v>
      </c>
      <c r="J517" s="284">
        <f ca="1">IFERROR(__xludf.DUMMYFUNCTION("IMPORTRANGE(""https://docs.google.com/spreadsheets/d/11923uPwbBZFjjGgGUA6NLw09EwE0CqkOc4q9oUmW1yo/edit?usp=sharing"",""แม่ฮ่องสอน!J412"")"),0)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IFERROR(__xludf.DUMMYFUNCTION("IMPORTRANGE(""https://docs.google.com/spreadsheets/d/11923uPwbBZFjjGgGUA6NLw09EwE0CqkOc4q9oUmW1yo/edit?usp=sharing"",""แม่ฮ่องสอน!I413"")"),0)</f>
        <v>0</v>
      </c>
      <c r="J518" s="284">
        <f ca="1">IFERROR(__xludf.DUMMYFUNCTION("IMPORTRANGE(""https://docs.google.com/spreadsheets/d/11923uPwbBZFjjGgGUA6NLw09EwE0CqkOc4q9oUmW1yo/edit?usp=sharing"",""แม่ฮ่องสอน!J413"")"),0)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IFERROR(__xludf.DUMMYFUNCTION("IMPORTRANGE(""https://docs.google.com/spreadsheets/d/11923uPwbBZFjjGgGUA6NLw09EwE0CqkOc4q9oUmW1yo/edit?usp=sharing"",""แม่ฮ่องสอน!I414"")"),0)</f>
        <v>0</v>
      </c>
      <c r="J519" s="187">
        <f ca="1">IFERROR(__xludf.DUMMYFUNCTION("IMPORTRANGE(""https://docs.google.com/spreadsheets/d/11923uPwbBZFjjGgGUA6NLw09EwE0CqkOc4q9oUmW1yo/edit?usp=sharing"",""แม่ฮ่องสอน!J414"")"),0)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IFERROR(__xludf.DUMMYFUNCTION("IMPORTRANGE(""https://docs.google.com/spreadsheets/d/11923uPwbBZFjjGgGUA6NLw09EwE0CqkOc4q9oUmW1yo/edit?usp=sharing"",""แม่ฮ่องสอน!I415"")"),0)</f>
        <v>0</v>
      </c>
      <c r="J520" s="187">
        <f ca="1">IFERROR(__xludf.DUMMYFUNCTION("IMPORTRANGE(""https://docs.google.com/spreadsheets/d/11923uPwbBZFjjGgGUA6NLw09EwE0CqkOc4q9oUmW1yo/edit?usp=sharing"",""แม่ฮ่องสอน!J415"")"),0)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IFERROR(__xludf.DUMMYFUNCTION("IMPORTRANGE(""https://docs.google.com/spreadsheets/d/11923uPwbBZFjjGgGUA6NLw09EwE0CqkOc4q9oUmW1yo/edit?usp=sharing"",""แม่ฮ่องสอน!I416"")"),0)</f>
        <v>0</v>
      </c>
      <c r="J521" s="187">
        <f ca="1">IFERROR(__xludf.DUMMYFUNCTION("IMPORTRANGE(""https://docs.google.com/spreadsheets/d/11923uPwbBZFjjGgGUA6NLw09EwE0CqkOc4q9oUmW1yo/edit?usp=sharing"",""แม่ฮ่องสอน!J416"")"),0)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IFERROR(__xludf.DUMMYFUNCTION("IMPORTRANGE(""https://docs.google.com/spreadsheets/d/11923uPwbBZFjjGgGUA6NLw09EwE0CqkOc4q9oUmW1yo/edit?usp=sharing"",""แม่ฮ่องสอน!I417"")"),0)</f>
        <v>0</v>
      </c>
      <c r="J522" s="187">
        <f ca="1">IFERROR(__xludf.DUMMYFUNCTION("IMPORTRANGE(""https://docs.google.com/spreadsheets/d/11923uPwbBZFjjGgGUA6NLw09EwE0CqkOc4q9oUmW1yo/edit?usp=sharing"",""แม่ฮ่องสอน!J417"")"),0)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IFERROR(__xludf.DUMMYFUNCTION("IMPORTRANGE(""https://docs.google.com/spreadsheets/d/11923uPwbBZFjjGgGUA6NLw09EwE0CqkOc4q9oUmW1yo/edit?usp=sharing"",""แม่ฮ่องสอน!I418"")"),0)</f>
        <v>0</v>
      </c>
      <c r="J523" s="187">
        <f ca="1">IFERROR(__xludf.DUMMYFUNCTION("IMPORTRANGE(""https://docs.google.com/spreadsheets/d/11923uPwbBZFjjGgGUA6NLw09EwE0CqkOc4q9oUmW1yo/edit?usp=sharing"",""แม่ฮ่องสอน!J418"")"),24)</f>
        <v>24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IFERROR(__xludf.DUMMYFUNCTION("IMPORTRANGE(""https://docs.google.com/spreadsheets/d/11923uPwbBZFjjGgGUA6NLw09EwE0CqkOc4q9oUmW1yo/edit?usp=sharing"",""แม่ฮ่องสอน!I419"")"),0)</f>
        <v>0</v>
      </c>
      <c r="J524" s="187">
        <f ca="1">IFERROR(__xludf.DUMMYFUNCTION("IMPORTRANGE(""https://docs.google.com/spreadsheets/d/11923uPwbBZFjjGgGUA6NLw09EwE0CqkOc4q9oUmW1yo/edit?usp=sharing"",""แม่ฮ่องสอน!J419"")"),4)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IFERROR(__xludf.DUMMYFUNCTION("IMPORTRANGE(""https://docs.google.com/spreadsheets/d/11923uPwbBZFjjGgGUA6NLw09EwE0CqkOc4q9oUmW1yo/edit?usp=sharing"",""แม่ฮ่องสอน!I420"")"),24)</f>
        <v>24</v>
      </c>
      <c r="J525" s="284">
        <f ca="1">IFERROR(__xludf.DUMMYFUNCTION("IMPORTRANGE(""https://docs.google.com/spreadsheets/d/11923uPwbBZFjjGgGUA6NLw09EwE0CqkOc4q9oUmW1yo/edit?usp=sharing"",""แม่ฮ่องสอน!J420"")"),24)</f>
        <v>24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IFERROR(__xludf.DUMMYFUNCTION("IMPORTRANGE(""https://docs.google.com/spreadsheets/d/11923uPwbBZFjjGgGUA6NLw09EwE0CqkOc4q9oUmW1yo/edit?usp=sharing"",""แม่ฮ่องสอน!I421"")"),4)</f>
        <v>4</v>
      </c>
      <c r="J526" s="284">
        <f ca="1">IFERROR(__xludf.DUMMYFUNCTION("IMPORTRANGE(""https://docs.google.com/spreadsheets/d/11923uPwbBZFjjGgGUA6NLw09EwE0CqkOc4q9oUmW1yo/edit?usp=sharing"",""แม่ฮ่องสอน!J421"")"),4)</f>
        <v>4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IFERROR(__xludf.DUMMYFUNCTION("IMPORTRANGE(""https://docs.google.com/spreadsheets/d/11923uPwbBZFjjGgGUA6NLw09EwE0CqkOc4q9oUmW1yo/edit?usp=sharing"",""แม่ฮ่องสอน!I422"")"),0)</f>
        <v>0</v>
      </c>
      <c r="J527" s="197">
        <f ca="1">IFERROR(__xludf.DUMMYFUNCTION("IMPORTRANGE(""https://docs.google.com/spreadsheets/d/11923uPwbBZFjjGgGUA6NLw09EwE0CqkOc4q9oUmW1yo/edit?usp=sharing"",""แม่ฮ่องสอน!J422"")"),2.75)</f>
        <v>2.75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IFERROR(__xludf.DUMMYFUNCTION("IMPORTRANGE(""https://docs.google.com/spreadsheets/d/11923uPwbBZFjjGgGUA6NLw09EwE0CqkOc4q9oUmW1yo/edit?usp=sharing"",""แม่ฮ่องสอน!I423"")"),0)</f>
        <v>0</v>
      </c>
      <c r="J528" s="197">
        <f ca="1">IFERROR(__xludf.DUMMYFUNCTION("IMPORTRANGE(""https://docs.google.com/spreadsheets/d/11923uPwbBZFjjGgGUA6NLw09EwE0CqkOc4q9oUmW1yo/edit?usp=sharing"",""แม่ฮ่องสอน!J423"")"),1)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IFERROR(__xludf.DUMMYFUNCTION("IMPORTRANGE(""https://docs.google.com/spreadsheets/d/11923uPwbBZFjjGgGUA6NLw09EwE0CqkOc4q9oUmW1yo/edit?usp=sharing"",""แม่ฮ่องสอน!I424"")"),0)</f>
        <v>0</v>
      </c>
      <c r="J529" s="197">
        <f ca="1">IFERROR(__xludf.DUMMYFUNCTION("IMPORTRANGE(""https://docs.google.com/spreadsheets/d/11923uPwbBZFjjGgGUA6NLw09EwE0CqkOc4q9oUmW1yo/edit?usp=sharing"",""แม่ฮ่องสอน!J424"")"),21.25)</f>
        <v>21.25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IFERROR(__xludf.DUMMYFUNCTION("IMPORTRANGE(""https://docs.google.com/spreadsheets/d/11923uPwbBZFjjGgGUA6NLw09EwE0CqkOc4q9oUmW1yo/edit?usp=sharing"",""แม่ฮ่องสอน!I425"")"),0)</f>
        <v>0</v>
      </c>
      <c r="J530" s="197">
        <f ca="1">IFERROR(__xludf.DUMMYFUNCTION("IMPORTRANGE(""https://docs.google.com/spreadsheets/d/11923uPwbBZFjjGgGUA6NLw09EwE0CqkOc4q9oUmW1yo/edit?usp=sharing"",""แม่ฮ่องสอน!J425"")"),3)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IFERROR(__xludf.DUMMYFUNCTION("IMPORTRANGE(""https://docs.google.com/spreadsheets/d/11923uPwbBZFjjGgGUA6NLw09EwE0CqkOc4q9oUmW1yo/edit?usp=sharing"",""แม่ฮ่องสอน!I426"")"),0)</f>
        <v>0</v>
      </c>
      <c r="J531" s="197">
        <f ca="1">IFERROR(__xludf.DUMMYFUNCTION("IMPORTRANGE(""https://docs.google.com/spreadsheets/d/11923uPwbBZFjjGgGUA6NLw09EwE0CqkOc4q9oUmW1yo/edit?usp=sharing"",""แม่ฮ่องสอน!J426"")"),0)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IFERROR(__xludf.DUMMYFUNCTION("IMPORTRANGE(""https://docs.google.com/spreadsheets/d/11923uPwbBZFjjGgGUA6NLw09EwE0CqkOc4q9oUmW1yo/edit?usp=sharing"",""แม่ฮ่องสอน!I427"")"),0)</f>
        <v>0</v>
      </c>
      <c r="J532" s="466">
        <f ca="1">IFERROR(__xludf.DUMMYFUNCTION("IMPORTRANGE(""https://docs.google.com/spreadsheets/d/11923uPwbBZFjjGgGUA6NLw09EwE0CqkOc4q9oUmW1yo/edit?usp=sharing"",""แม่ฮ่องสอน!J427"")"),0)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IFERROR(__xludf.DUMMYFUNCTION("IMPORTRANGE(""https://docs.google.com/spreadsheets/d/11923uPwbBZFjjGgGUA6NLw09EwE0CqkOc4q9oUmW1yo/edit?usp=sharing"",""แม่ฮ่องสอน!I428"")"),22)</f>
        <v>22</v>
      </c>
      <c r="J533" s="409">
        <f ca="1">IFERROR(__xludf.DUMMYFUNCTION("IMPORTRANGE(""https://docs.google.com/spreadsheets/d/11923uPwbBZFjjGgGUA6NLw09EwE0CqkOc4q9oUmW1yo/edit?usp=sharing"",""แม่ฮ่องสอน!J428"")"),22)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IFERROR(__xludf.DUMMYFUNCTION("IMPORTRANGE(""https://docs.google.com/spreadsheets/d/11923uPwbBZFjjGgGUA6NLw09EwE0CqkOc4q9oUmW1yo/edit?usp=sharing"",""แม่ฮ่องสอน!L428"")"),34340)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IFERROR(__xludf.DUMMYFUNCTION("IMPORTRANGE(""https://docs.google.com/spreadsheets/d/11923uPwbBZFjjGgGUA6NLw09EwE0CqkOc4q9oUmW1yo/edit?usp=sharing"",""แม่ฮ่องสอน!M428"")"),30107)</f>
        <v>30107</v>
      </c>
      <c r="O533" s="411">
        <f t="shared" ref="O533:O537" ca="1" si="118">+IF(L533&gt;0,N533*100/L533,0)</f>
        <v>87.67326732673267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IFERROR(__xludf.DUMMYFUNCTION("IMPORTRANGE(""https://docs.google.com/spreadsheets/d/11923uPwbBZFjjGgGUA6NLw09EwE0CqkOc4q9oUmW1yo/edit?usp=sharing"",""แม่ฮ่องสอน!L429"")"),0)</f>
        <v>0</v>
      </c>
      <c r="M534" s="164"/>
      <c r="N534" s="168">
        <f ca="1">IFERROR(__xludf.DUMMYFUNCTION("IMPORTRANGE(""https://docs.google.com/spreadsheets/d/11923uPwbBZFjjGgGUA6NLw09EwE0CqkOc4q9oUmW1yo/edit?usp=sharing"",""แม่ฮ่องสอน!M429"")"),0)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IFERROR(__xludf.DUMMYFUNCTION("IMPORTRANGE(""https://docs.google.com/spreadsheets/d/11923uPwbBZFjjGgGUA6NLw09EwE0CqkOc4q9oUmW1yo/edit?usp=sharing"",""แม่ฮ่องสอน!L430"")"),34340)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IFERROR(__xludf.DUMMYFUNCTION("IMPORTRANGE(""https://docs.google.com/spreadsheets/d/11923uPwbBZFjjGgGUA6NLw09EwE0CqkOc4q9oUmW1yo/edit?usp=sharing"",""แม่ฮ่องสอน!M430"")"),30107)</f>
        <v>30107</v>
      </c>
      <c r="O535" s="168">
        <f t="shared" ca="1" si="118"/>
        <v>87.67326732673267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IFERROR(__xludf.DUMMYFUNCTION("IMPORTRANGE(""https://docs.google.com/spreadsheets/d/11923uPwbBZFjjGgGUA6NLw09EwE0CqkOc4q9oUmW1yo/edit?usp=sharing"",""แม่ฮ่องสอน!L431"")"),0)</f>
        <v>0</v>
      </c>
      <c r="M536" s="168"/>
      <c r="N536" s="168">
        <f ca="1">IFERROR(__xludf.DUMMYFUNCTION("IMPORTRANGE(""https://docs.google.com/spreadsheets/d/11923uPwbBZFjjGgGUA6NLw09EwE0CqkOc4q9oUmW1yo/edit?usp=sharing"",""แม่ฮ่องสอน!M431"")"),0)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IFERROR(__xludf.DUMMYFUNCTION("IMPORTRANGE(""https://docs.google.com/spreadsheets/d/11923uPwbBZFjjGgGUA6NLw09EwE0CqkOc4q9oUmW1yo/edit?usp=sharing"",""แม่ฮ่องสอน!L432"")"),34340)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IFERROR(__xludf.DUMMYFUNCTION("IMPORTRANGE(""https://docs.google.com/spreadsheets/d/11923uPwbBZFjjGgGUA6NLw09EwE0CqkOc4q9oUmW1yo/edit?usp=sharing"",""แม่ฮ่องสอน!M432"")"),30107)</f>
        <v>30107</v>
      </c>
      <c r="O537" s="168">
        <f t="shared" ca="1" si="118"/>
        <v>87.67326732673267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IFERROR(__xludf.DUMMYFUNCTION("IMPORTRANGE(""https://docs.google.com/spreadsheets/d/11923uPwbBZFjjGgGUA6NLw09EwE0CqkOc4q9oUmW1yo/edit?usp=sharing"",""แม่ฮ่องสอน!M433"")"),18740)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IFERROR(__xludf.DUMMYFUNCTION("IMPORTRANGE(""https://docs.google.com/spreadsheets/d/11923uPwbBZFjjGgGUA6NLw09EwE0CqkOc4q9oUmW1yo/edit?usp=sharing"",""แม่ฮ่องสอน!M434"")"),0)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IFERROR(__xludf.DUMMYFUNCTION("IMPORTRANGE(""https://docs.google.com/spreadsheets/d/11923uPwbBZFjjGgGUA6NLw09EwE0CqkOc4q9oUmW1yo/edit?usp=sharing"",""แม่ฮ่องสอน!M435"")"),0)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IFERROR(__xludf.DUMMYFUNCTION("IMPORTRANGE(""https://docs.google.com/spreadsheets/d/11923uPwbBZFjjGgGUA6NLw09EwE0CqkOc4q9oUmW1yo/edit?usp=sharing"",""แม่ฮ่องสอน!M436"")"),11367)</f>
        <v>11367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IFERROR(__xludf.DUMMYFUNCTION("IMPORTRANGE(""https://docs.google.com/spreadsheets/d/11923uPwbBZFjjGgGUA6NLw09EwE0CqkOc4q9oUmW1yo/edit?usp=sharing"",""แม่ฮ่องสอน!J438"")"),0)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IFERROR(__xludf.DUMMYFUNCTION("IMPORTRANGE(""https://docs.google.com/spreadsheets/d/11923uPwbBZFjjGgGUA6NLw09EwE0CqkOc4q9oUmW1yo/edit?usp=sharing"",""แม่ฮ่องสอน!J439"")"),1)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IFERROR(__xludf.DUMMYFUNCTION("IMPORTRANGE(""https://docs.google.com/spreadsheets/d/11923uPwbBZFjjGgGUA6NLw09EwE0CqkOc4q9oUmW1yo/edit?usp=sharing"",""แม่ฮ่องสอน!J440"")"),1)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IFERROR(__xludf.DUMMYFUNCTION("IMPORTRANGE(""https://docs.google.com/spreadsheets/d/11923uPwbBZFjjGgGUA6NLw09EwE0CqkOc4q9oUmW1yo/edit?usp=sharing"",""แม่ฮ่องสอน!J441"")"),1)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IFERROR(__xludf.DUMMYFUNCTION("IMPORTRANGE(""https://docs.google.com/spreadsheets/d/11923uPwbBZFjjGgGUA6NLw09EwE0CqkOc4q9oUmW1yo/edit?usp=sharing"",""แม่ฮ่องสอน!I442"")"),22)</f>
        <v>22</v>
      </c>
      <c r="J547" s="188">
        <f ca="1">IFERROR(__xludf.DUMMYFUNCTION("IMPORTRANGE(""https://docs.google.com/spreadsheets/d/11923uPwbBZFjjGgGUA6NLw09EwE0CqkOc4q9oUmW1yo/edit?usp=sharing"",""แม่ฮ่องสอน!J442"")"),22)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IFERROR(__xludf.DUMMYFUNCTION("IMPORTRANGE(""https://docs.google.com/spreadsheets/d/11923uPwbBZFjjGgGUA6NLw09EwE0CqkOc4q9oUmW1yo/edit?usp=sharing"",""แม่ฮ่องสอน!J166"")"),0)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IFERROR(__xludf.DUMMYFUNCTION("IMPORTRANGE(""https://docs.google.com/spreadsheets/d/11923uPwbBZFjjGgGUA6NLw09EwE0CqkOc4q9oUmW1yo/edit?usp=sharing"",""แม่ฮ่องสอน!J444"")"),0)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IFERROR(__xludf.DUMMYFUNCTION("IMPORTRANGE(""https://docs.google.com/spreadsheets/d/11923uPwbBZFjjGgGUA6NLw09EwE0CqkOc4q9oUmW1yo/edit?usp=sharing"",""แม่ฮ่องสอน!J445"")"),0)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IFERROR(__xludf.DUMMYFUNCTION("IMPORTRANGE(""https://docs.google.com/spreadsheets/d/11923uPwbBZFjjGgGUA6NLw09EwE0CqkOc4q9oUmW1yo/edit?usp=sharing"",""แม่ฮ่องสอน!I446"")"),0)</f>
        <v>0</v>
      </c>
      <c r="J551" s="409">
        <f ca="1">IFERROR(__xludf.DUMMYFUNCTION("IMPORTRANGE(""https://docs.google.com/spreadsheets/d/11923uPwbBZFjjGgGUA6NLw09EwE0CqkOc4q9oUmW1yo/edit?usp=sharing"",""แม่ฮ่องสอน!J446"")"),0)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IFERROR(__xludf.DUMMYFUNCTION("IMPORTRANGE(""https://docs.google.com/spreadsheets/d/11923uPwbBZFjjGgGUA6NLw09EwE0CqkOc4q9oUmW1yo/edit?usp=sharing"",""แม่ฮ่องสอน!L446"")"),0)</f>
        <v>0</v>
      </c>
      <c r="M551" s="411"/>
      <c r="N551" s="411">
        <f ca="1">IFERROR(__xludf.DUMMYFUNCTION("IMPORTRANGE(""https://docs.google.com/spreadsheets/d/11923uPwbBZFjjGgGUA6NLw09EwE0CqkOc4q9oUmW1yo/edit?usp=sharing"",""แม่ฮ่องสอน!M446"")"),0)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IFERROR(__xludf.DUMMYFUNCTION("IMPORTRANGE(""https://docs.google.com/spreadsheets/d/11923uPwbBZFjjGgGUA6NLw09EwE0CqkOc4q9oUmW1yo/edit?usp=sharing"",""แม่ฮ่องสอน!L447"")"),0)</f>
        <v>0</v>
      </c>
      <c r="M552" s="164"/>
      <c r="N552" s="168">
        <f ca="1">IFERROR(__xludf.DUMMYFUNCTION("IMPORTRANGE(""https://docs.google.com/spreadsheets/d/11923uPwbBZFjjGgGUA6NLw09EwE0CqkOc4q9oUmW1yo/edit?usp=sharing"",""แม่ฮ่องสอน!M447"")"),0)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IFERROR(__xludf.DUMMYFUNCTION("IMPORTRANGE(""https://docs.google.com/spreadsheets/d/11923uPwbBZFjjGgGUA6NLw09EwE0CqkOc4q9oUmW1yo/edit?usp=sharing"",""แม่ฮ่องสอน!L448"")"),0)</f>
        <v>0</v>
      </c>
      <c r="M553" s="165"/>
      <c r="N553" s="168">
        <f ca="1">IFERROR(__xludf.DUMMYFUNCTION("IMPORTRANGE(""https://docs.google.com/spreadsheets/d/11923uPwbBZFjjGgGUA6NLw09EwE0CqkOc4q9oUmW1yo/edit?usp=sharing"",""แม่ฮ่องสอน!M448"")"),0)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IFERROR(__xludf.DUMMYFUNCTION("IMPORTRANGE(""https://docs.google.com/spreadsheets/d/11923uPwbBZFjjGgGUA6NLw09EwE0CqkOc4q9oUmW1yo/edit?usp=sharing"",""แม่ฮ่องสอน!L449"")"),0)</f>
        <v>0</v>
      </c>
      <c r="M554" s="168"/>
      <c r="N554" s="168">
        <f ca="1">IFERROR(__xludf.DUMMYFUNCTION("IMPORTRANGE(""https://docs.google.com/spreadsheets/d/11923uPwbBZFjjGgGUA6NLw09EwE0CqkOc4q9oUmW1yo/edit?usp=sharing"",""แม่ฮ่องสอน!M449"")"),0)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IFERROR(__xludf.DUMMYFUNCTION("IMPORTRANGE(""https://docs.google.com/spreadsheets/d/11923uPwbBZFjjGgGUA6NLw09EwE0CqkOc4q9oUmW1yo/edit?usp=sharing"",""แม่ฮ่องสอน!L450"")"),0)</f>
        <v>0</v>
      </c>
      <c r="M555" s="168"/>
      <c r="N555" s="168">
        <f ca="1">IFERROR(__xludf.DUMMYFUNCTION("IMPORTRANGE(""https://docs.google.com/spreadsheets/d/11923uPwbBZFjjGgGUA6NLw09EwE0CqkOc4q9oUmW1yo/edit?usp=sharing"",""แม่ฮ่องสอน!M450"")"),0)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IFERROR(__xludf.DUMMYFUNCTION("IMPORTRANGE(""https://docs.google.com/spreadsheets/d/11923uPwbBZFjjGgGUA6NLw09EwE0CqkOc4q9oUmW1yo/edit?usp=sharing"",""แม่ฮ่องสอน!M451"")"),0)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IFERROR(__xludf.DUMMYFUNCTION("IMPORTRANGE(""https://docs.google.com/spreadsheets/d/11923uPwbBZFjjGgGUA6NLw09EwE0CqkOc4q9oUmW1yo/edit?usp=sharing"",""แม่ฮ่องสอน!M452"")"),0)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IFERROR(__xludf.DUMMYFUNCTION("IMPORTRANGE(""https://docs.google.com/spreadsheets/d/11923uPwbBZFjjGgGUA6NLw09EwE0CqkOc4q9oUmW1yo/edit?usp=sharing"",""แม่ฮ่องสอน!M453"")"),0)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IFERROR(__xludf.DUMMYFUNCTION("IMPORTRANGE(""https://docs.google.com/spreadsheets/d/11923uPwbBZFjjGgGUA6NLw09EwE0CqkOc4q9oUmW1yo/edit?usp=sharing"",""แม่ฮ่องสอน!M454"")"),0)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IFERROR(__xludf.DUMMYFUNCTION("IMPORTRANGE(""https://docs.google.com/spreadsheets/d/11923uPwbBZFjjGgGUA6NLw09EwE0CqkOc4q9oUmW1yo/edit?usp=sharing"",""แม่ฮ่องสอน!I455"")"),0)</f>
        <v>0</v>
      </c>
      <c r="J560" s="162">
        <f ca="1">IFERROR(__xludf.DUMMYFUNCTION("IMPORTRANGE(""https://docs.google.com/spreadsheets/d/11923uPwbBZFjjGgGUA6NLw09EwE0CqkOc4q9oUmW1yo/edit?usp=sharing"",""แม่ฮ่องสอน!J455"")"),0)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IFERROR(__xludf.DUMMYFUNCTION("IMPORTRANGE(""https://docs.google.com/spreadsheets/d/11923uPwbBZFjjGgGUA6NLw09EwE0CqkOc4q9oUmW1yo/edit?usp=sharing"",""แม่ฮ่องสอน!I456"")"),0)</f>
        <v>0</v>
      </c>
      <c r="J561" s="203">
        <f ca="1">IFERROR(__xludf.DUMMYFUNCTION("IMPORTRANGE(""https://docs.google.com/spreadsheets/d/11923uPwbBZFjjGgGUA6NLw09EwE0CqkOc4q9oUmW1yo/edit?usp=sharing"",""แม่ฮ่องสอน!J456"")"),0)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IFERROR(__xludf.DUMMYFUNCTION("IMPORTRANGE(""https://docs.google.com/spreadsheets/d/11923uPwbBZFjjGgGUA6NLw09EwE0CqkOc4q9oUmW1yo/edit?usp=sharing"",""แม่ฮ่องสอน!I459"")"),250)</f>
        <v>250</v>
      </c>
      <c r="J564" s="370">
        <f ca="1">IFERROR(__xludf.DUMMYFUNCTION("IMPORTRANGE(""https://docs.google.com/spreadsheets/d/11923uPwbBZFjjGgGUA6NLw09EwE0CqkOc4q9oUmW1yo/edit?usp=sharing"",""แม่ฮ่องสอน!J459"")"),341)</f>
        <v>341</v>
      </c>
      <c r="K564" s="371">
        <f ca="1">IF(I564&gt;0,J564*100/I564,0)</f>
        <v>136.4</v>
      </c>
      <c r="L564" s="372">
        <f ca="1">IFERROR(__xludf.DUMMYFUNCTION("IMPORTRANGE(""https://docs.google.com/spreadsheets/d/11923uPwbBZFjjGgGUA6NLw09EwE0CqkOc4q9oUmW1yo/edit?usp=sharing"",""แม่ฮ่องสอน!L459"")"),130080)</f>
        <v>130080</v>
      </c>
      <c r="M564" s="372"/>
      <c r="N564" s="372">
        <f ca="1">IFERROR(__xludf.DUMMYFUNCTION("IMPORTRANGE(""https://docs.google.com/spreadsheets/d/11923uPwbBZFjjGgGUA6NLw09EwE0CqkOc4q9oUmW1yo/edit?usp=sharing"",""แม่ฮ่องสอน!M459"")"),88187)</f>
        <v>88187</v>
      </c>
      <c r="O564" s="372">
        <f t="shared" ref="O564:O568" ca="1" si="122">+IF(L564&gt;0,N564*100/L564,0)</f>
        <v>67.794434194341946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IFERROR(__xludf.DUMMYFUNCTION("IMPORTRANGE(""https://docs.google.com/spreadsheets/d/11923uPwbBZFjjGgGUA6NLw09EwE0CqkOc4q9oUmW1yo/edit?usp=sharing"",""แม่ฮ่องสอน!L460"")"),0)</f>
        <v>0</v>
      </c>
      <c r="M565" s="164"/>
      <c r="N565" s="168">
        <f ca="1">IFERROR(__xludf.DUMMYFUNCTION("IMPORTRANGE(""https://docs.google.com/spreadsheets/d/11923uPwbBZFjjGgGUA6NLw09EwE0CqkOc4q9oUmW1yo/edit?usp=sharing"",""แม่ฮ่องสอน!M460"")"),0)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IFERROR(__xludf.DUMMYFUNCTION("IMPORTRANGE(""https://docs.google.com/spreadsheets/d/11923uPwbBZFjjGgGUA6NLw09EwE0CqkOc4q9oUmW1yo/edit?usp=sharing"",""แม่ฮ่องสอน!L461"")"),130080)</f>
        <v>130080</v>
      </c>
      <c r="M566" s="165"/>
      <c r="N566" s="168">
        <f ca="1">IFERROR(__xludf.DUMMYFUNCTION("IMPORTRANGE(""https://docs.google.com/spreadsheets/d/11923uPwbBZFjjGgGUA6NLw09EwE0CqkOc4q9oUmW1yo/edit?usp=sharing"",""แม่ฮ่องสอน!M461"")"),88187)</f>
        <v>88187</v>
      </c>
      <c r="O566" s="168">
        <f t="shared" ca="1" si="122"/>
        <v>67.794434194341946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IFERROR(__xludf.DUMMYFUNCTION("IMPORTRANGE(""https://docs.google.com/spreadsheets/d/11923uPwbBZFjjGgGUA6NLw09EwE0CqkOc4q9oUmW1yo/edit?usp=sharing"",""แม่ฮ่องสอน!L462"")"),0)</f>
        <v>0</v>
      </c>
      <c r="M567" s="168"/>
      <c r="N567" s="168">
        <f ca="1">IFERROR(__xludf.DUMMYFUNCTION("IMPORTRANGE(""https://docs.google.com/spreadsheets/d/11923uPwbBZFjjGgGUA6NLw09EwE0CqkOc4q9oUmW1yo/edit?usp=sharing"",""แม่ฮ่องสอน!M462"")"),0)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IFERROR(__xludf.DUMMYFUNCTION("IMPORTRANGE(""https://docs.google.com/spreadsheets/d/11923uPwbBZFjjGgGUA6NLw09EwE0CqkOc4q9oUmW1yo/edit?usp=sharing"",""แม่ฮ่องสอน!L463"")"),130080)</f>
        <v>130080</v>
      </c>
      <c r="M568" s="168"/>
      <c r="N568" s="168">
        <f ca="1">IFERROR(__xludf.DUMMYFUNCTION("IMPORTRANGE(""https://docs.google.com/spreadsheets/d/11923uPwbBZFjjGgGUA6NLw09EwE0CqkOc4q9oUmW1yo/edit?usp=sharing"",""แม่ฮ่องสอน!M463"")"),88187)</f>
        <v>88187</v>
      </c>
      <c r="O568" s="168">
        <f t="shared" ca="1" si="122"/>
        <v>67.794434194341946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IFERROR(__xludf.DUMMYFUNCTION("IMPORTRANGE(""https://docs.google.com/spreadsheets/d/11923uPwbBZFjjGgGUA6NLw09EwE0CqkOc4q9oUmW1yo/edit?usp=sharing"",""แม่ฮ่องสอน!M464"")"),0)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IFERROR(__xludf.DUMMYFUNCTION("IMPORTRANGE(""https://docs.google.com/spreadsheets/d/11923uPwbBZFjjGgGUA6NLw09EwE0CqkOc4q9oUmW1yo/edit?usp=sharing"",""แม่ฮ่องสอน!M465"")"),0)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IFERROR(__xludf.DUMMYFUNCTION("IMPORTRANGE(""https://docs.google.com/spreadsheets/d/11923uPwbBZFjjGgGUA6NLw09EwE0CqkOc4q9oUmW1yo/edit?usp=sharing"",""แม่ฮ่องสอน!M466"")"),65607)</f>
        <v>65607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IFERROR(__xludf.DUMMYFUNCTION("IMPORTRANGE(""https://docs.google.com/spreadsheets/d/11923uPwbBZFjjGgGUA6NLw09EwE0CqkOc4q9oUmW1yo/edit?usp=sharing"",""แม่ฮ่องสอน!M467"")"),22580)</f>
        <v>22580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IFERROR(__xludf.DUMMYFUNCTION("IMPORTRANGE(""https://docs.google.com/spreadsheets/d/11923uPwbBZFjjGgGUA6NLw09EwE0CqkOc4q9oUmW1yo/edit?usp=sharing"",""แม่ฮ่องสอน!I468"")"),250)</f>
        <v>250</v>
      </c>
      <c r="J573" s="420">
        <f ca="1">IFERROR(__xludf.DUMMYFUNCTION("IMPORTRANGE(""https://docs.google.com/spreadsheets/d/11923uPwbBZFjjGgGUA6NLw09EwE0CqkOc4q9oUmW1yo/edit?usp=sharing"",""แม่ฮ่องสอน!J468"")"),341)</f>
        <v>341</v>
      </c>
      <c r="K573" s="201">
        <f ca="1">IF(I573&gt;0,J573*100/I573,0)</f>
        <v>136.4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IFERROR(__xludf.DUMMYFUNCTION("IMPORTRANGE(""https://docs.google.com/spreadsheets/d/11923uPwbBZFjjGgGUA6NLw09EwE0CqkOc4q9oUmW1yo/edit?usp=sharing"",""แม่ฮ่องสอน!I470"")"),0)</f>
        <v>0</v>
      </c>
      <c r="J575" s="197">
        <f ca="1">IFERROR(__xludf.DUMMYFUNCTION("IMPORTRANGE(""https://docs.google.com/spreadsheets/d/11923uPwbBZFjjGgGUA6NLw09EwE0CqkOc4q9oUmW1yo/edit?usp=sharing"",""แม่ฮ่องสอน!J470"")"),9)</f>
        <v>9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IFERROR(__xludf.DUMMYFUNCTION("IMPORTRANGE(""https://docs.google.com/spreadsheets/d/11923uPwbBZFjjGgGUA6NLw09EwE0CqkOc4q9oUmW1yo/edit?usp=sharing"",""แม่ฮ่องสอน!I471"")"),0)</f>
        <v>0</v>
      </c>
      <c r="J576" s="197">
        <f ca="1">IFERROR(__xludf.DUMMYFUNCTION("IMPORTRANGE(""https://docs.google.com/spreadsheets/d/11923uPwbBZFjjGgGUA6NLw09EwE0CqkOc4q9oUmW1yo/edit?usp=sharing"",""แม่ฮ่องสอน!J471"")"),215)</f>
        <v>215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IFERROR(__xludf.DUMMYFUNCTION("IMPORTRANGE(""https://docs.google.com/spreadsheets/d/11923uPwbBZFjjGgGUA6NLw09EwE0CqkOc4q9oUmW1yo/edit?usp=sharing"",""แม่ฮ่องสอน!I472"")"),0)</f>
        <v>0</v>
      </c>
      <c r="J577" s="188">
        <f ca="1">IFERROR(__xludf.DUMMYFUNCTION("IMPORTRANGE(""https://docs.google.com/spreadsheets/d/11923uPwbBZFjjGgGUA6NLw09EwE0CqkOc4q9oUmW1yo/edit?usp=sharing"",""แม่ฮ่องสอน!J472"")"),126)</f>
        <v>126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IFERROR(__xludf.DUMMYFUNCTION("IMPORTRANGE(""https://docs.google.com/spreadsheets/d/11923uPwbBZFjjGgGUA6NLw09EwE0CqkOc4q9oUmW1yo/edit?usp=sharing"",""แม่ฮ่องสอน!I473"")"),0)</f>
        <v>0</v>
      </c>
      <c r="J578" s="197">
        <f ca="1">IFERROR(__xludf.DUMMYFUNCTION("IMPORTRANGE(""https://docs.google.com/spreadsheets/d/11923uPwbBZFjjGgGUA6NLw09EwE0CqkOc4q9oUmW1yo/edit?usp=sharing"",""แม่ฮ่องสอน!J473"")"),0)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IFERROR(__xludf.DUMMYFUNCTION("IMPORTRANGE(""https://docs.google.com/spreadsheets/d/11923uPwbBZFjjGgGUA6NLw09EwE0CqkOc4q9oUmW1yo/edit?usp=sharing"",""แม่ฮ่องสอน!I474"")"),0)</f>
        <v>0</v>
      </c>
      <c r="J579" s="197">
        <f ca="1">IFERROR(__xludf.DUMMYFUNCTION("IMPORTRANGE(""https://docs.google.com/spreadsheets/d/11923uPwbBZFjjGgGUA6NLw09EwE0CqkOc4q9oUmW1yo/edit?usp=sharing"",""แม่ฮ่องสอน!J474"")"),0)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IFERROR(__xludf.DUMMYFUNCTION("IMPORTRANGE(""https://docs.google.com/spreadsheets/d/11923uPwbBZFjjGgGUA6NLw09EwE0CqkOc4q9oUmW1yo/edit?usp=sharing"",""แม่ฮ่องสอน!I475"")"),34)</f>
        <v>34</v>
      </c>
      <c r="J580" s="370">
        <f ca="1">IFERROR(__xludf.DUMMYFUNCTION("IMPORTRANGE(""https://docs.google.com/spreadsheets/d/11923uPwbBZFjjGgGUA6NLw09EwE0CqkOc4q9oUmW1yo/edit?usp=sharing"",""แม่ฮ่องสอน!J475"")"),0)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IFERROR(__xludf.DUMMYFUNCTION("IMPORTRANGE(""https://docs.google.com/spreadsheets/d/11923uPwbBZFjjGgGUA6NLw09EwE0CqkOc4q9oUmW1yo/edit?usp=sharing"",""แม่ฮ่องสอน!L475"")"),128934)</f>
        <v>128934</v>
      </c>
      <c r="M580" s="372"/>
      <c r="N580" s="372">
        <f ca="1">IFERROR(__xludf.DUMMYFUNCTION("IMPORTRANGE(""https://docs.google.com/spreadsheets/d/11923uPwbBZFjjGgGUA6NLw09EwE0CqkOc4q9oUmW1yo/edit?usp=sharing"",""แม่ฮ่องสอน!M475"")"),44620)</f>
        <v>44620</v>
      </c>
      <c r="O580" s="372">
        <f t="shared" ref="O580:O584" ca="1" si="124">+IF(L580&gt;0,N580*100/L580,0)</f>
        <v>34.606853118649852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IFERROR(__xludf.DUMMYFUNCTION("IMPORTRANGE(""https://docs.google.com/spreadsheets/d/11923uPwbBZFjjGgGUA6NLw09EwE0CqkOc4q9oUmW1yo/edit?usp=sharing"",""แม่ฮ่องสอน!L476"")"),0)</f>
        <v>0</v>
      </c>
      <c r="M581" s="164"/>
      <c r="N581" s="168">
        <f ca="1">IFERROR(__xludf.DUMMYFUNCTION("IMPORTRANGE(""https://docs.google.com/spreadsheets/d/11923uPwbBZFjjGgGUA6NLw09EwE0CqkOc4q9oUmW1yo/edit?usp=sharing"",""แม่ฮ่องสอน!M476"")"),0)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IFERROR(__xludf.DUMMYFUNCTION("IMPORTRANGE(""https://docs.google.com/spreadsheets/d/11923uPwbBZFjjGgGUA6NLw09EwE0CqkOc4q9oUmW1yo/edit?usp=sharing"",""แม่ฮ่องสอน!L477"")"),128934)</f>
        <v>128934</v>
      </c>
      <c r="M582" s="165"/>
      <c r="N582" s="168">
        <f ca="1">IFERROR(__xludf.DUMMYFUNCTION("IMPORTRANGE(""https://docs.google.com/spreadsheets/d/11923uPwbBZFjjGgGUA6NLw09EwE0CqkOc4q9oUmW1yo/edit?usp=sharing"",""แม่ฮ่องสอน!M477"")"),44620)</f>
        <v>44620</v>
      </c>
      <c r="O582" s="168">
        <f t="shared" ca="1" si="124"/>
        <v>34.606853118649852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IFERROR(__xludf.DUMMYFUNCTION("IMPORTRANGE(""https://docs.google.com/spreadsheets/d/11923uPwbBZFjjGgGUA6NLw09EwE0CqkOc4q9oUmW1yo/edit?usp=sharing"",""แม่ฮ่องสอน!L478"")"),0)</f>
        <v>0</v>
      </c>
      <c r="M583" s="168"/>
      <c r="N583" s="168">
        <f ca="1">IFERROR(__xludf.DUMMYFUNCTION("IMPORTRANGE(""https://docs.google.com/spreadsheets/d/11923uPwbBZFjjGgGUA6NLw09EwE0CqkOc4q9oUmW1yo/edit?usp=sharing"",""แม่ฮ่องสอน!M478"")"),0)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IFERROR(__xludf.DUMMYFUNCTION("IMPORTRANGE(""https://docs.google.com/spreadsheets/d/11923uPwbBZFjjGgGUA6NLw09EwE0CqkOc4q9oUmW1yo/edit?usp=sharing"",""แม่ฮ่องสอน!L479"")"),128934)</f>
        <v>128934</v>
      </c>
      <c r="M584" s="168"/>
      <c r="N584" s="168">
        <f ca="1">IFERROR(__xludf.DUMMYFUNCTION("IMPORTRANGE(""https://docs.google.com/spreadsheets/d/11923uPwbBZFjjGgGUA6NLw09EwE0CqkOc4q9oUmW1yo/edit?usp=sharing"",""แม่ฮ่องสอน!M479"")"),44620)</f>
        <v>44620</v>
      </c>
      <c r="O584" s="168">
        <f t="shared" ca="1" si="124"/>
        <v>34.606853118649852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IFERROR(__xludf.DUMMYFUNCTION("IMPORTRANGE(""https://docs.google.com/spreadsheets/d/11923uPwbBZFjjGgGUA6NLw09EwE0CqkOc4q9oUmW1yo/edit?usp=sharing"",""แม่ฮ่องสอน!M480"")"),0)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IFERROR(__xludf.DUMMYFUNCTION("IMPORTRANGE(""https://docs.google.com/spreadsheets/d/11923uPwbBZFjjGgGUA6NLw09EwE0CqkOc4q9oUmW1yo/edit?usp=sharing"",""แม่ฮ่องสอน!M481"")"),0)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IFERROR(__xludf.DUMMYFUNCTION("IMPORTRANGE(""https://docs.google.com/spreadsheets/d/11923uPwbBZFjjGgGUA6NLw09EwE0CqkOc4q9oUmW1yo/edit?usp=sharing"",""แม่ฮ่องสอน!M482"")"),0)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IFERROR(__xludf.DUMMYFUNCTION("IMPORTRANGE(""https://docs.google.com/spreadsheets/d/11923uPwbBZFjjGgGUA6NLw09EwE0CqkOc4q9oUmW1yo/edit?usp=sharing"",""แม่ฮ่องสอน!M483"")"),44620)</f>
        <v>44620</v>
      </c>
      <c r="O588" s="168"/>
      <c r="P588" s="168"/>
    </row>
    <row r="589" spans="1:16" ht="21.75" customHeight="1" x14ac:dyDescent="0.3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IFERROR(__xludf.DUMMYFUNCTION("IMPORTRANGE(""https://docs.google.com/spreadsheets/d/11923uPwbBZFjjGgGUA6NLw09EwE0CqkOc4q9oUmW1yo/edit?usp=sharing"",""แม่ฮ่องสอน!I484"")"),34)</f>
        <v>34</v>
      </c>
      <c r="J589" s="187">
        <f ca="1">IFERROR(__xludf.DUMMYFUNCTION("IMPORTRANGE(""https://docs.google.com/spreadsheets/d/11923uPwbBZFjjGgGUA6NLw09EwE0CqkOc4q9oUmW1yo/edit?usp=sharing"",""แม่ฮ่องสอน!J484"")"),0)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IFERROR(__xludf.DUMMYFUNCTION("IMPORTRANGE(""https://docs.google.com/spreadsheets/d/11923uPwbBZFjjGgGUA6NLw09EwE0CqkOc4q9oUmW1yo/edit?usp=sharing"",""แม่ฮ่องสอน!I485"")"),0)</f>
        <v>0</v>
      </c>
      <c r="J590" s="187">
        <f ca="1">IFERROR(__xludf.DUMMYFUNCTION("IMPORTRANGE(""https://docs.google.com/spreadsheets/d/11923uPwbBZFjjGgGUA6NLw09EwE0CqkOc4q9oUmW1yo/edit?usp=sharing"",""แม่ฮ่องสอน!J485"")"),0)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IFERROR(__xludf.DUMMYFUNCTION("IMPORTRANGE(""https://docs.google.com/spreadsheets/d/11923uPwbBZFjjGgGUA6NLw09EwE0CqkOc4q9oUmW1yo/edit?usp=sharing"",""แม่ฮ่องสอน!I486"")"),34)</f>
        <v>34</v>
      </c>
      <c r="J591" s="187">
        <f ca="1">IFERROR(__xludf.DUMMYFUNCTION("IMPORTRANGE(""https://docs.google.com/spreadsheets/d/11923uPwbBZFjjGgGUA6NLw09EwE0CqkOc4q9oUmW1yo/edit?usp=sharing"",""แม่ฮ่องสอน!J486"")"),0)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IFERROR(__xludf.DUMMYFUNCTION("IMPORTRANGE(""https://docs.google.com/spreadsheets/d/11923uPwbBZFjjGgGUA6NLw09EwE0CqkOc4q9oUmW1yo/edit?usp=sharing"",""แม่ฮ่องสอน!I487"")"),0)</f>
        <v>0</v>
      </c>
      <c r="J592" s="187">
        <f ca="1">IFERROR(__xludf.DUMMYFUNCTION("IMPORTRANGE(""https://docs.google.com/spreadsheets/d/11923uPwbBZFjjGgGUA6NLw09EwE0CqkOc4q9oUmW1yo/edit?usp=sharing"",""แม่ฮ่องสอน!J487"")"),0)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IFERROR(__xludf.DUMMYFUNCTION("IMPORTRANGE(""https://docs.google.com/spreadsheets/d/11923uPwbBZFjjGgGUA6NLw09EwE0CqkOc4q9oUmW1yo/edit?usp=sharing"",""แม่ฮ่องสอน!I488"")"),34)</f>
        <v>34</v>
      </c>
      <c r="J593" s="187">
        <f ca="1">IFERROR(__xludf.DUMMYFUNCTION("IMPORTRANGE(""https://docs.google.com/spreadsheets/d/11923uPwbBZFjjGgGUA6NLw09EwE0CqkOc4q9oUmW1yo/edit?usp=sharing"",""แม่ฮ่องสอน!J488"")"),0)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IFERROR(__xludf.DUMMYFUNCTION("IMPORTRANGE(""https://docs.google.com/spreadsheets/d/11923uPwbBZFjjGgGUA6NLw09EwE0CqkOc4q9oUmW1yo/edit?usp=sharing"",""แม่ฮ่องสอน!I489"")"),0)</f>
        <v>0</v>
      </c>
      <c r="J594" s="187">
        <f ca="1">IFERROR(__xludf.DUMMYFUNCTION("IMPORTRANGE(""https://docs.google.com/spreadsheets/d/11923uPwbBZFjjGgGUA6NLw09EwE0CqkOc4q9oUmW1yo/edit?usp=sharing"",""แม่ฮ่องสอน!J489"")"),0)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IFERROR(__xludf.DUMMYFUNCTION("IMPORTRANGE(""https://docs.google.com/spreadsheets/d/11923uPwbBZFjjGgGUA6NLw09EwE0CqkOc4q9oUmW1yo/edit?usp=sharing"",""แม่ฮ่องสอน!I490"")"),34)</f>
        <v>34</v>
      </c>
      <c r="J595" s="187">
        <f ca="1">IFERROR(__xludf.DUMMYFUNCTION("IMPORTRANGE(""https://docs.google.com/spreadsheets/d/11923uPwbBZFjjGgGUA6NLw09EwE0CqkOc4q9oUmW1yo/edit?usp=sharing"",""แม่ฮ่องสอน!J490"")"),0)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IFERROR(__xludf.DUMMYFUNCTION("IMPORTRANGE(""https://docs.google.com/spreadsheets/d/11923uPwbBZFjjGgGUA6NLw09EwE0CqkOc4q9oUmW1yo/edit?usp=sharing"",""แม่ฮ่องสอน!I491"")"),0)</f>
        <v>0</v>
      </c>
      <c r="J596" s="241">
        <f ca="1">IFERROR(__xludf.DUMMYFUNCTION("IMPORTRANGE(""https://docs.google.com/spreadsheets/d/11923uPwbBZFjjGgGUA6NLw09EwE0CqkOc4q9oUmW1yo/edit?usp=sharing"",""แม่ฮ่องสอน!J491"")"),0)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IFERROR(__xludf.DUMMYFUNCTION("IMPORTRANGE(""https://docs.google.com/spreadsheets/d/11923uPwbBZFjjGgGUA6NLw09EwE0CqkOc4q9oUmW1yo/edit?usp=sharing"",""แม่ฮ่องสอน!I492"")"),50)</f>
        <v>50</v>
      </c>
      <c r="J597" s="487">
        <f ca="1">IFERROR(__xludf.DUMMYFUNCTION("IMPORTRANGE(""https://docs.google.com/spreadsheets/d/11923uPwbBZFjjGgGUA6NLw09EwE0CqkOc4q9oUmW1yo/edit?usp=sharing"",""แม่ฮ่องสอน!J492"")"),0)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IFERROR(__xludf.DUMMYFUNCTION("IMPORTRANGE(""https://docs.google.com/spreadsheets/d/11923uPwbBZFjjGgGUA6NLw09EwE0CqkOc4q9oUmW1yo/edit?usp=sharing"",""แม่ฮ่องสอน!L492"")"),6950)</f>
        <v>6950</v>
      </c>
      <c r="M597" s="411"/>
      <c r="N597" s="411">
        <f ca="1">IFERROR(__xludf.DUMMYFUNCTION("IMPORTRANGE(""https://docs.google.com/spreadsheets/d/11923uPwbBZFjjGgGUA6NLw09EwE0CqkOc4q9oUmW1yo/edit?usp=sharing"",""แม่ฮ่องสอน!M492"")"),3910)</f>
        <v>3910</v>
      </c>
      <c r="O597" s="411">
        <f t="shared" ref="O597:O601" ca="1" si="126">+IF(L597&gt;0,N597*100/L597,0)</f>
        <v>56.258992805755398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IFERROR(__xludf.DUMMYFUNCTION("IMPORTRANGE(""https://docs.google.com/spreadsheets/d/11923uPwbBZFjjGgGUA6NLw09EwE0CqkOc4q9oUmW1yo/edit?usp=sharing"",""แม่ฮ่องสอน!L493"")"),0)</f>
        <v>0</v>
      </c>
      <c r="M598" s="164"/>
      <c r="N598" s="168">
        <f ca="1">IFERROR(__xludf.DUMMYFUNCTION("IMPORTRANGE(""https://docs.google.com/spreadsheets/d/11923uPwbBZFjjGgGUA6NLw09EwE0CqkOc4q9oUmW1yo/edit?usp=sharing"",""แม่ฮ่องสอน!M493"")"),0)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IFERROR(__xludf.DUMMYFUNCTION("IMPORTRANGE(""https://docs.google.com/spreadsheets/d/11923uPwbBZFjjGgGUA6NLw09EwE0CqkOc4q9oUmW1yo/edit?usp=sharing"",""แม่ฮ่องสอน!L494"")"),6950)</f>
        <v>6950</v>
      </c>
      <c r="M599" s="165"/>
      <c r="N599" s="168">
        <f ca="1">IFERROR(__xludf.DUMMYFUNCTION("IMPORTRANGE(""https://docs.google.com/spreadsheets/d/11923uPwbBZFjjGgGUA6NLw09EwE0CqkOc4q9oUmW1yo/edit?usp=sharing"",""แม่ฮ่องสอน!M494"")"),3910)</f>
        <v>3910</v>
      </c>
      <c r="O599" s="168">
        <f t="shared" ca="1" si="126"/>
        <v>56.258992805755398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IFERROR(__xludf.DUMMYFUNCTION("IMPORTRANGE(""https://docs.google.com/spreadsheets/d/11923uPwbBZFjjGgGUA6NLw09EwE0CqkOc4q9oUmW1yo/edit?usp=sharing"",""แม่ฮ่องสอน!L495"")"),0)</f>
        <v>0</v>
      </c>
      <c r="M600" s="168"/>
      <c r="N600" s="168">
        <f ca="1">IFERROR(__xludf.DUMMYFUNCTION("IMPORTRANGE(""https://docs.google.com/spreadsheets/d/11923uPwbBZFjjGgGUA6NLw09EwE0CqkOc4q9oUmW1yo/edit?usp=sharing"",""แม่ฮ่องสอน!M495"")"),0)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IFERROR(__xludf.DUMMYFUNCTION("IMPORTRANGE(""https://docs.google.com/spreadsheets/d/11923uPwbBZFjjGgGUA6NLw09EwE0CqkOc4q9oUmW1yo/edit?usp=sharing"",""แม่ฮ่องสอน!L496"")"),6950)</f>
        <v>6950</v>
      </c>
      <c r="M601" s="168"/>
      <c r="N601" s="168">
        <f ca="1">IFERROR(__xludf.DUMMYFUNCTION("IMPORTRANGE(""https://docs.google.com/spreadsheets/d/11923uPwbBZFjjGgGUA6NLw09EwE0CqkOc4q9oUmW1yo/edit?usp=sharing"",""แม่ฮ่องสอน!M496"")"),3910)</f>
        <v>3910</v>
      </c>
      <c r="O601" s="168">
        <f t="shared" ca="1" si="126"/>
        <v>56.258992805755398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IFERROR(__xludf.DUMMYFUNCTION("IMPORTRANGE(""https://docs.google.com/spreadsheets/d/11923uPwbBZFjjGgGUA6NLw09EwE0CqkOc4q9oUmW1yo/edit?usp=sharing"",""แม่ฮ่องสอน!M497"")"),0)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IFERROR(__xludf.DUMMYFUNCTION("IMPORTRANGE(""https://docs.google.com/spreadsheets/d/11923uPwbBZFjjGgGUA6NLw09EwE0CqkOc4q9oUmW1yo/edit?usp=sharing"",""แม่ฮ่องสอน!M498"")"),0)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IFERROR(__xludf.DUMMYFUNCTION("IMPORTRANGE(""https://docs.google.com/spreadsheets/d/11923uPwbBZFjjGgGUA6NLw09EwE0CqkOc4q9oUmW1yo/edit?usp=sharing"",""แม่ฮ่องสอน!M499"")"),0)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IFERROR(__xludf.DUMMYFUNCTION("IMPORTRANGE(""https://docs.google.com/spreadsheets/d/11923uPwbBZFjjGgGUA6NLw09EwE0CqkOc4q9oUmW1yo/edit?usp=sharing"",""แม่ฮ่องสอน!M500"")"),3910)</f>
        <v>3910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IFERROR(__xludf.DUMMYFUNCTION("IMPORTRANGE(""https://docs.google.com/spreadsheets/d/11923uPwbBZFjjGgGUA6NLw09EwE0CqkOc4q9oUmW1yo/edit?usp=sharing"",""แม่ฮ่องสอน!J502"")"),0)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IFERROR(__xludf.DUMMYFUNCTION("IMPORTRANGE(""https://docs.google.com/spreadsheets/d/11923uPwbBZFjjGgGUA6NLw09EwE0CqkOc4q9oUmW1yo/edit?usp=sharing"",""แม่ฮ่องสอน!J503"")"),1)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IFERROR(__xludf.DUMMYFUNCTION("IMPORTRANGE(""https://docs.google.com/spreadsheets/d/11923uPwbBZFjjGgGUA6NLw09EwE0CqkOc4q9oUmW1yo/edit?usp=sharing"",""แม่ฮ่องสอน!J166"")"),0)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IFERROR(__xludf.DUMMYFUNCTION("IMPORTRANGE(""https://docs.google.com/spreadsheets/d/11923uPwbBZFjjGgGUA6NLw09EwE0CqkOc4q9oUmW1yo/edit?usp=sharing"",""แม่ฮ่องสอน!J166"")"),0)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IFERROR(__xludf.DUMMYFUNCTION("IMPORTRANGE(""https://docs.google.com/spreadsheets/d/11923uPwbBZFjjGgGUA6NLw09EwE0CqkOc4q9oUmW1yo/edit?usp=sharing"",""แม่ฮ่องสอน!I506"")"),50)</f>
        <v>50</v>
      </c>
      <c r="J611" s="162">
        <f ca="1">IFERROR(__xludf.DUMMYFUNCTION("IMPORTRANGE(""https://docs.google.com/spreadsheets/d/11923uPwbBZFjjGgGUA6NLw09EwE0CqkOc4q9oUmW1yo/edit?usp=sharing"",""แม่ฮ่องสอน!J506"")"),0)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IFERROR(__xludf.DUMMYFUNCTION("IMPORTRANGE(""https://docs.google.com/spreadsheets/d/11923uPwbBZFjjGgGUA6NLw09EwE0CqkOc4q9oUmW1yo/edit?usp=sharing"",""แม่ฮ่องสอน!I507"")"),0)</f>
        <v>0</v>
      </c>
      <c r="J612" s="197">
        <f ca="1">IFERROR(__xludf.DUMMYFUNCTION("IMPORTRANGE(""https://docs.google.com/spreadsheets/d/11923uPwbBZFjjGgGUA6NLw09EwE0CqkOc4q9oUmW1yo/edit?usp=sharing"",""แม่ฮ่องสอน!J507"")"),0)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IFERROR(__xludf.DUMMYFUNCTION("IMPORTRANGE(""https://docs.google.com/spreadsheets/d/11923uPwbBZFjjGgGUA6NLw09EwE0CqkOc4q9oUmW1yo/edit?usp=sharing"",""แม่ฮ่องสอน!I508"")"),0)</f>
        <v>0</v>
      </c>
      <c r="J613" s="197">
        <f ca="1">IFERROR(__xludf.DUMMYFUNCTION("IMPORTRANGE(""https://docs.google.com/spreadsheets/d/11923uPwbBZFjjGgGUA6NLw09EwE0CqkOc4q9oUmW1yo/edit?usp=sharing"",""แม่ฮ่องสอน!J508"")"),0)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IFERROR(__xludf.DUMMYFUNCTION("IMPORTRANGE(""https://docs.google.com/spreadsheets/d/11923uPwbBZFjjGgGUA6NLw09EwE0CqkOc4q9oUmW1yo/edit?usp=sharing"",""แม่ฮ่องสอน!I509"")"),0)</f>
        <v>0</v>
      </c>
      <c r="J614" s="197">
        <f ca="1">IFERROR(__xludf.DUMMYFUNCTION("IMPORTRANGE(""https://docs.google.com/spreadsheets/d/11923uPwbBZFjjGgGUA6NLw09EwE0CqkOc4q9oUmW1yo/edit?usp=sharing"",""แม่ฮ่องสอน!J509"")"),0)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IFERROR(__xludf.DUMMYFUNCTION("IMPORTRANGE(""https://docs.google.com/spreadsheets/d/11923uPwbBZFjjGgGUA6NLw09EwE0CqkOc4q9oUmW1yo/edit?usp=sharing"",""แม่ฮ่องสอน!I510"")"),0)</f>
        <v>0</v>
      </c>
      <c r="J615" s="197">
        <f ca="1">IFERROR(__xludf.DUMMYFUNCTION("IMPORTRANGE(""https://docs.google.com/spreadsheets/d/11923uPwbBZFjjGgGUA6NLw09EwE0CqkOc4q9oUmW1yo/edit?usp=sharing"",""แม่ฮ่องสอน!J510"")"),0)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IFERROR(__xludf.DUMMYFUNCTION("IMPORTRANGE(""https://docs.google.com/spreadsheets/d/11923uPwbBZFjjGgGUA6NLw09EwE0CqkOc4q9oUmW1yo/edit?usp=sharing"",""แม่ฮ่องสอน!I511"")"),0)</f>
        <v>0</v>
      </c>
      <c r="J616" s="197">
        <f ca="1">IFERROR(__xludf.DUMMYFUNCTION("IMPORTRANGE(""https://docs.google.com/spreadsheets/d/11923uPwbBZFjjGgGUA6NLw09EwE0CqkOc4q9oUmW1yo/edit?usp=sharing"",""แม่ฮ่องสอน!J511"")"),0)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IFERROR(__xludf.DUMMYFUNCTION("IMPORTRANGE(""https://docs.google.com/spreadsheets/d/11923uPwbBZFjjGgGUA6NLw09EwE0CqkOc4q9oUmW1yo/edit?usp=sharing"",""แม่ฮ่องสอน!I512"")"),0)</f>
        <v>0</v>
      </c>
      <c r="J617" s="187">
        <f ca="1">IFERROR(__xludf.DUMMYFUNCTION("IMPORTRANGE(""https://docs.google.com/spreadsheets/d/11923uPwbBZFjjGgGUA6NLw09EwE0CqkOc4q9oUmW1yo/edit?usp=sharing"",""แม่ฮ่องสอน!J512"")"),0)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IFERROR(__xludf.DUMMYFUNCTION("IMPORTRANGE(""https://docs.google.com/spreadsheets/d/11923uPwbBZFjjGgGUA6NLw09EwE0CqkOc4q9oUmW1yo/edit?usp=sharing"",""แม่ฮ่องสอน!I513"")"),0)</f>
        <v>0</v>
      </c>
      <c r="J618" s="188">
        <f ca="1">IFERROR(__xludf.DUMMYFUNCTION("IMPORTRANGE(""https://docs.google.com/spreadsheets/d/11923uPwbBZFjjGgGUA6NLw09EwE0CqkOc4q9oUmW1yo/edit?usp=sharing"",""แม่ฮ่องสอน!J513"")"),0)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IFERROR(__xludf.DUMMYFUNCTION("IMPORTRANGE(""https://docs.google.com/spreadsheets/d/11923uPwbBZFjjGgGUA6NLw09EwE0CqkOc4q9oUmW1yo/edit?usp=sharing"",""แม่ฮ่องสอน!I514"")"),0)</f>
        <v>0</v>
      </c>
      <c r="J619" s="188">
        <f ca="1">IFERROR(__xludf.DUMMYFUNCTION("IMPORTRANGE(""https://docs.google.com/spreadsheets/d/11923uPwbBZFjjGgGUA6NLw09EwE0CqkOc4q9oUmW1yo/edit?usp=sharing"",""แม่ฮ่องสอน!J514"")"),0)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IFERROR(__xludf.DUMMYFUNCTION("IMPORTRANGE(""https://docs.google.com/spreadsheets/d/11923uPwbBZFjjGgGUA6NLw09EwE0CqkOc4q9oUmW1yo/edit?usp=sharing"",""แม่ฮ่องสอน!I515"")"),0)</f>
        <v>0</v>
      </c>
      <c r="J620" s="202">
        <f ca="1">IFERROR(__xludf.DUMMYFUNCTION("IMPORTRANGE(""https://docs.google.com/spreadsheets/d/11923uPwbBZFjjGgGUA6NLw09EwE0CqkOc4q9oUmW1yo/edit?usp=sharing"",""แม่ฮ่องสอน!J515"")"),0)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IFERROR(__xludf.DUMMYFUNCTION("IMPORTRANGE(""https://docs.google.com/spreadsheets/d/11923uPwbBZFjjGgGUA6NLw09EwE0CqkOc4q9oUmW1yo/edit?usp=sharing"",""แม่ฮ่องสอน!I516"")"),0)</f>
        <v>0</v>
      </c>
      <c r="J621" s="202">
        <f ca="1">IFERROR(__xludf.DUMMYFUNCTION("IMPORTRANGE(""https://docs.google.com/spreadsheets/d/11923uPwbBZFjjGgGUA6NLw09EwE0CqkOc4q9oUmW1yo/edit?usp=sharing"",""แม่ฮ่องสอน!J516"")"),0)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IFERROR(__xludf.DUMMYFUNCTION("IMPORTRANGE(""https://docs.google.com/spreadsheets/d/11923uPwbBZFjjGgGUA6NLw09EwE0CqkOc4q9oUmW1yo/edit?usp=sharing"",""แม่ฮ่องสอน!I517"")"),0)</f>
        <v>0</v>
      </c>
      <c r="J622" s="188">
        <f ca="1">IFERROR(__xludf.DUMMYFUNCTION("IMPORTRANGE(""https://docs.google.com/spreadsheets/d/11923uPwbBZFjjGgGUA6NLw09EwE0CqkOc4q9oUmW1yo/edit?usp=sharing"",""แม่ฮ่องสอน!J517"")"),0)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IFERROR(__xludf.DUMMYFUNCTION("IMPORTRANGE(""https://docs.google.com/spreadsheets/d/11923uPwbBZFjjGgGUA6NLw09EwE0CqkOc4q9oUmW1yo/edit?usp=sharing"",""แม่ฮ่องสอน!I518"")"),0)</f>
        <v>0</v>
      </c>
      <c r="J623" s="188">
        <f ca="1">IFERROR(__xludf.DUMMYFUNCTION("IMPORTRANGE(""https://docs.google.com/spreadsheets/d/11923uPwbBZFjjGgGUA6NLw09EwE0CqkOc4q9oUmW1yo/edit?usp=sharing"",""แม่ฮ่องสอน!J518"")"),0)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IFERROR(__xludf.DUMMYFUNCTION("IMPORTRANGE(""https://docs.google.com/spreadsheets/d/11923uPwbBZFjjGgGUA6NLw09EwE0CqkOc4q9oUmW1yo/edit?usp=sharing"",""แม่ฮ่องสอน!I519"")"),0)</f>
        <v>0</v>
      </c>
      <c r="J624" s="187">
        <f ca="1">IFERROR(__xludf.DUMMYFUNCTION("IMPORTRANGE(""https://docs.google.com/spreadsheets/d/11923uPwbBZFjjGgGUA6NLw09EwE0CqkOc4q9oUmW1yo/edit?usp=sharing"",""แม่ฮ่องสอน!J519"")"),0)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IFERROR(__xludf.DUMMYFUNCTION("IMPORTRANGE(""https://docs.google.com/spreadsheets/d/11923uPwbBZFjjGgGUA6NLw09EwE0CqkOc4q9oUmW1yo/edit?usp=sharing"",""แม่ฮ่องสอน!I520"")"),0)</f>
        <v>0</v>
      </c>
      <c r="J625" s="188">
        <f ca="1">IFERROR(__xludf.DUMMYFUNCTION("IMPORTRANGE(""https://docs.google.com/spreadsheets/d/11923uPwbBZFjjGgGUA6NLw09EwE0CqkOc4q9oUmW1yo/edit?usp=sharing"",""แม่ฮ่องสอน!J520"")"),0)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IFERROR(__xludf.DUMMYFUNCTION("IMPORTRANGE(""https://docs.google.com/spreadsheets/d/11923uPwbBZFjjGgGUA6NLw09EwE0CqkOc4q9oUmW1yo/edit?usp=sharing"",""แม่ฮ่องสอน!I521"")"),0)</f>
        <v>0</v>
      </c>
      <c r="J626" s="188">
        <f ca="1">IFERROR(__xludf.DUMMYFUNCTION("IMPORTRANGE(""https://docs.google.com/spreadsheets/d/11923uPwbBZFjjGgGUA6NLw09EwE0CqkOc4q9oUmW1yo/edit?usp=sharing"",""แม่ฮ่องสอน!J521"")"),0)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IFERROR(__xludf.DUMMYFUNCTION("IMPORTRANGE(""https://docs.google.com/spreadsheets/d/11923uPwbBZFjjGgGUA6NLw09EwE0CqkOc4q9oUmW1yo/edit?usp=sharing"",""แม่ฮ่องสอน!I523"")"),839087.63)</f>
        <v>839087.63</v>
      </c>
      <c r="J628" s="341">
        <f ca="1">IFERROR(__xludf.DUMMYFUNCTION("IMPORTRANGE(""https://docs.google.com/spreadsheets/d/11923uPwbBZFjjGgGUA6NLw09EwE0CqkOc4q9oUmW1yo/edit?usp=sharing"",""แม่ฮ่องสอน!J523"")"),799954.98)</f>
        <v>799954.98</v>
      </c>
      <c r="K628" s="342">
        <f t="shared" ref="K628:K635" ca="1" si="129">IF(I628&gt;0,J628*100/I628,0)</f>
        <v>95.336285674953871</v>
      </c>
      <c r="L628" s="342"/>
      <c r="M628" s="342"/>
      <c r="N628" s="342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IFERROR(__xludf.DUMMYFUNCTION("IMPORTRANGE(""https://docs.google.com/spreadsheets/d/11923uPwbBZFjjGgGUA6NLw09EwE0CqkOc4q9oUmW1yo/edit?usp=sharing"",""แม่ฮ่องสอน!I524"")"),84)</f>
        <v>84</v>
      </c>
      <c r="J629" s="341">
        <f ca="1">IFERROR(__xludf.DUMMYFUNCTION("IMPORTRANGE(""https://docs.google.com/spreadsheets/d/11923uPwbBZFjjGgGUA6NLw09EwE0CqkOc4q9oUmW1yo/edit?usp=sharing"",""แม่ฮ่องสอน!J524"")"),76)</f>
        <v>76</v>
      </c>
      <c r="K629" s="342">
        <f t="shared" ca="1" si="129"/>
        <v>90.476190476190482</v>
      </c>
      <c r="L629" s="342"/>
      <c r="M629" s="342"/>
      <c r="N629" s="342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IFERROR(__xludf.DUMMYFUNCTION("IMPORTRANGE(""https://docs.google.com/spreadsheets/d/11923uPwbBZFjjGgGUA6NLw09EwE0CqkOc4q9oUmW1yo/edit?usp=sharing"",""แม่ฮ่องสอน!I525"")"),341351.2)</f>
        <v>341351.2</v>
      </c>
      <c r="J630" s="341">
        <f ca="1">IFERROR(__xludf.DUMMYFUNCTION("IMPORTRANGE(""https://docs.google.com/spreadsheets/d/11923uPwbBZFjjGgGUA6NLw09EwE0CqkOc4q9oUmW1yo/edit?usp=sharing"",""แม่ฮ่องสอน!J525"")"),127939.84)</f>
        <v>127939.84</v>
      </c>
      <c r="K630" s="342">
        <f t="shared" ca="1" si="129"/>
        <v>37.480413134624982</v>
      </c>
      <c r="L630" s="342"/>
      <c r="M630" s="342"/>
      <c r="N630" s="342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IFERROR(__xludf.DUMMYFUNCTION("IMPORTRANGE(""https://docs.google.com/spreadsheets/d/11923uPwbBZFjjGgGUA6NLw09EwE0CqkOc4q9oUmW1yo/edit?usp=sharing"",""แม่ฮ่องสอน!I526"")"),27)</f>
        <v>27</v>
      </c>
      <c r="J631" s="341">
        <f ca="1">IFERROR(__xludf.DUMMYFUNCTION("IMPORTRANGE(""https://docs.google.com/spreadsheets/d/11923uPwbBZFjjGgGUA6NLw09EwE0CqkOc4q9oUmW1yo/edit?usp=sharing"",""แม่ฮ่องสอน!J526"")"),22)</f>
        <v>22</v>
      </c>
      <c r="K631" s="342">
        <f t="shared" ca="1" si="129"/>
        <v>81.481481481481481</v>
      </c>
      <c r="L631" s="342"/>
      <c r="M631" s="342"/>
      <c r="N631" s="342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IFERROR(__xludf.DUMMYFUNCTION("IMPORTRANGE(""https://docs.google.com/spreadsheets/d/11923uPwbBZFjjGgGUA6NLw09EwE0CqkOc4q9oUmW1yo/edit?usp=sharing"",""แม่ฮ่องสอน!I527"")"),0)</f>
        <v>0</v>
      </c>
      <c r="J632" s="341">
        <f ca="1">IFERROR(__xludf.DUMMYFUNCTION("IMPORTRANGE(""https://docs.google.com/spreadsheets/d/11923uPwbBZFjjGgGUA6NLw09EwE0CqkOc4q9oUmW1yo/edit?usp=sharing"",""แม่ฮ่องสอน!J527"")"),0)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IFERROR(__xludf.DUMMYFUNCTION("IMPORTRANGE(""https://docs.google.com/spreadsheets/d/11923uPwbBZFjjGgGUA6NLw09EwE0CqkOc4q9oUmW1yo/edit?usp=sharing"",""แม่ฮ่องสอน!I528"")"),0)</f>
        <v>0</v>
      </c>
      <c r="J633" s="341">
        <f ca="1">IFERROR(__xludf.DUMMYFUNCTION("IMPORTRANGE(""https://docs.google.com/spreadsheets/d/11923uPwbBZFjjGgGUA6NLw09EwE0CqkOc4q9oUmW1yo/edit?usp=sharing"",""แม่ฮ่องสอน!J528"")"),0)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IFERROR(__xludf.DUMMYFUNCTION("IMPORTRANGE(""https://docs.google.com/spreadsheets/d/11923uPwbBZFjjGgGUA6NLw09EwE0CqkOc4q9oUmW1yo/edit?usp=sharing"",""แม่ฮ่องสอน!I529"")"),900000)</f>
        <v>900000</v>
      </c>
      <c r="J634" s="341">
        <f ca="1">IFERROR(__xludf.DUMMYFUNCTION("IMPORTRANGE(""https://docs.google.com/spreadsheets/d/11923uPwbBZFjjGgGUA6NLw09EwE0CqkOc4q9oUmW1yo/edit?usp=sharing"",""แม่ฮ่องสอน!J529"")"),900000)</f>
        <v>900000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IFERROR(__xludf.DUMMYFUNCTION("IMPORTRANGE(""https://docs.google.com/spreadsheets/d/11923uPwbBZFjjGgGUA6NLw09EwE0CqkOc4q9oUmW1yo/edit?usp=sharing"",""แม่ฮ่องสอน!I530"")"),30)</f>
        <v>30</v>
      </c>
      <c r="J635" s="504">
        <f ca="1">IFERROR(__xludf.DUMMYFUNCTION("IMPORTRANGE(""https://docs.google.com/spreadsheets/d/11923uPwbBZFjjGgGUA6NLw09EwE0CqkOc4q9oUmW1yo/edit?usp=sharing"",""แม่ฮ่องสอน!J530"")"),28)</f>
        <v>28</v>
      </c>
      <c r="K635" s="486">
        <f t="shared" ca="1" si="129"/>
        <v>93.333333333333329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5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5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IFERROR(__xludf.DUMMYFUNCTION("IMPORTRANGE(""https://docs.google.com/spreadsheets/d/11923uPwbBZFjjGgGUA6NLw09EwE0CqkOc4q9oUmW1yo/edit?usp=sharing"",""แม่ฮ่องสอน!J541"")"),0)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5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IFERROR(__xludf.DUMMYFUNCTION("IMPORTRANGE(""https://docs.google.com/spreadsheets/d/11923uPwbBZFjjGgGUA6NLw09EwE0CqkOc4q9oUmW1yo/edit?usp=sharing"",""แม่ฮ่องสอน!J542"")"),0)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5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IFERROR(__xludf.DUMMYFUNCTION("IMPORTRANGE(""https://docs.google.com/spreadsheets/d/11923uPwbBZFjjGgGUA6NLw09EwE0CqkOc4q9oUmW1yo/edit?usp=sharing"",""แม่ฮ่องสอน!I543"")"),0)</f>
        <v>0</v>
      </c>
      <c r="J648" s="535">
        <f ca="1">IFERROR(__xludf.DUMMYFUNCTION("IMPORTRANGE(""https://docs.google.com/spreadsheets/d/11923uPwbBZFjjGgGUA6NLw09EwE0CqkOc4q9oUmW1yo/edit?usp=sharing"",""แม่ฮ่องสอน!J543"")"),0)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IFERROR(__xludf.DUMMYFUNCTION("IMPORTRANGE(""https://docs.google.com/spreadsheets/d/11923uPwbBZFjjGgGUA6NLw09EwE0CqkOc4q9oUmW1yo/edit?usp=sharing"",""แม่ฮ่องสอน!L543"")"),0)</f>
        <v>0</v>
      </c>
      <c r="M648" s="520"/>
      <c r="N648" s="537">
        <f ca="1">IFERROR(__xludf.DUMMYFUNCTION("IMPORTRANGE(""https://docs.google.com/spreadsheets/d/11923uPwbBZFjjGgGUA6NLw09EwE0CqkOc4q9oUmW1yo/edit?usp=sharing"",""แม่ฮ่องสอน!M543"")"),0)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5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IFERROR(__xludf.DUMMYFUNCTION("IMPORTRANGE(""https://docs.google.com/spreadsheets/d/11923uPwbBZFjjGgGUA6NLw09EwE0CqkOc4q9oUmW1yo/edit?usp=sharing"",""แม่ฮ่องสอน!I544"")"),0)</f>
        <v>0</v>
      </c>
      <c r="J649" s="535">
        <f ca="1">IFERROR(__xludf.DUMMYFUNCTION("IMPORTRANGE(""https://docs.google.com/spreadsheets/d/11923uPwbBZFjjGgGUA6NLw09EwE0CqkOc4q9oUmW1yo/edit?usp=sharing"",""แม่ฮ่องสอน!J544"")"),0)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IFERROR(__xludf.DUMMYFUNCTION("IMPORTRANGE(""https://docs.google.com/spreadsheets/d/11923uPwbBZFjjGgGUA6NLw09EwE0CqkOc4q9oUmW1yo/edit?usp=sharing"",""แม่ฮ่องสอน!L544"")"),0)</f>
        <v>0</v>
      </c>
      <c r="M649" s="520"/>
      <c r="N649" s="537">
        <f ca="1">IFERROR(__xludf.DUMMYFUNCTION("IMPORTRANGE(""https://docs.google.com/spreadsheets/d/11923uPwbBZFjjGgGUA6NLw09EwE0CqkOc4q9oUmW1yo/edit?usp=sharing"",""แม่ฮ่องสอน!M544"")"),0)</f>
        <v>0</v>
      </c>
      <c r="O649" s="536">
        <f t="shared" ca="1" si="132"/>
        <v>0</v>
      </c>
      <c r="P649" s="536"/>
    </row>
    <row r="650" spans="1:16" ht="21.75" customHeight="1" x14ac:dyDescent="0.45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IFERROR(__xludf.DUMMYFUNCTION("IMPORTRANGE(""https://docs.google.com/spreadsheets/d/11923uPwbBZFjjGgGUA6NLw09EwE0CqkOc4q9oUmW1yo/edit?usp=sharing"",""แม่ฮ่องสอน!I545"")"),0)</f>
        <v>0</v>
      </c>
      <c r="J650" s="535">
        <f ca="1">IFERROR(__xludf.DUMMYFUNCTION("IMPORTRANGE(""https://docs.google.com/spreadsheets/d/11923uPwbBZFjjGgGUA6NLw09EwE0CqkOc4q9oUmW1yo/edit?usp=sharing"",""แม่ฮ่องสอน!J545"")"),0)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IFERROR(__xludf.DUMMYFUNCTION("IMPORTRANGE(""https://docs.google.com/spreadsheets/d/11923uPwbBZFjjGgGUA6NLw09EwE0CqkOc4q9oUmW1yo/edit?usp=sharing"",""แม่ฮ่องสอน!L545"")"),0)</f>
        <v>0</v>
      </c>
      <c r="M650" s="520"/>
      <c r="N650" s="537">
        <f ca="1">IFERROR(__xludf.DUMMYFUNCTION("IMPORTRANGE(""https://docs.google.com/spreadsheets/d/11923uPwbBZFjjGgGUA6NLw09EwE0CqkOc4q9oUmW1yo/edit?usp=sharing"",""แม่ฮ่องสอน!M545"")"),0)</f>
        <v>0</v>
      </c>
      <c r="O650" s="536">
        <f t="shared" ca="1" si="132"/>
        <v>0</v>
      </c>
      <c r="P650" s="536"/>
    </row>
    <row r="651" spans="1:16" ht="21.75" customHeight="1" x14ac:dyDescent="0.45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IFERROR(__xludf.DUMMYFUNCTION("IMPORTRANGE(""https://docs.google.com/spreadsheets/d/11923uPwbBZFjjGgGUA6NLw09EwE0CqkOc4q9oUmW1yo/edit?usp=sharing"",""แม่ฮ่องสอน!I546"")"),0)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IFERROR(__xludf.DUMMYFUNCTION("IMPORTRANGE(""https://docs.google.com/spreadsheets/d/11923uPwbBZFjjGgGUA6NLw09EwE0CqkOc4q9oUmW1yo/edit?usp=sharing"",""แม่ฮ่องสอน!L546"")"),0)</f>
        <v>0</v>
      </c>
      <c r="M651" s="520"/>
      <c r="N651" s="537">
        <f ca="1">IFERROR(__xludf.DUMMYFUNCTION("IMPORTRANGE(""https://docs.google.com/spreadsheets/d/11923uPwbBZFjjGgGUA6NLw09EwE0CqkOc4q9oUmW1yo/edit?usp=sharing"",""แม่ฮ่องสอน!M546"")"),0)</f>
        <v>0</v>
      </c>
      <c r="O651" s="536">
        <f t="shared" ca="1" si="132"/>
        <v>0</v>
      </c>
      <c r="P651" s="536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IFERROR(__xludf.DUMMYFUNCTION("IMPORTRANGE(""https://docs.google.com/spreadsheets/d/11923uPwbBZFjjGgGUA6NLw09EwE0CqkOc4q9oUmW1yo/edit?usp=sharing"",""แม่ฮ่องสอน!J547"")"),0)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IFERROR(__xludf.DUMMYFUNCTION("IMPORTRANGE(""https://docs.google.com/spreadsheets/d/11923uPwbBZFjjGgGUA6NLw09EwE0CqkOc4q9oUmW1yo/edit?usp=sharing"",""แม่ฮ่องสอน!J548"")"),0)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IFERROR(__xludf.DUMMYFUNCTION("IMPORTRANGE(""https://docs.google.com/spreadsheets/d/11923uPwbBZFjjGgGUA6NLw09EwE0CqkOc4q9oUmW1yo/edit?usp=sharing"",""แม่ฮ่องสอน!J550"")"),0)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IFERROR(__xludf.DUMMYFUNCTION("IMPORTRANGE(""https://docs.google.com/spreadsheets/d/11923uPwbBZFjjGgGUA6NLw09EwE0CqkOc4q9oUmW1yo/edit?usp=sharing"",""แม่ฮ่องสอน!J551"")"),0)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IFERROR(__xludf.DUMMYFUNCTION("IMPORTRANGE(""https://docs.google.com/spreadsheets/d/11923uPwbBZFjjGgGUA6NLw09EwE0CqkOc4q9oUmW1yo/edit?usp=sharing"",""แม่ฮ่องสอน!J552"")"),0)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IFERROR(__xludf.DUMMYFUNCTION("IMPORTRANGE(""https://docs.google.com/spreadsheets/d/11923uPwbBZFjjGgGUA6NLw09EwE0CqkOc4q9oUmW1yo/edit?usp=sharing"",""แม่ฮ่องสอน!J553"")"),0)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IFERROR(__xludf.DUMMYFUNCTION("IMPORTRANGE(""https://docs.google.com/spreadsheets/d/11923uPwbBZFjjGgGUA6NLw09EwE0CqkOc4q9oUmW1yo/edit?usp=sharing"",""แม่ฮ่องสอน!J554"")"),0)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IFERROR(__xludf.DUMMYFUNCTION("IMPORTRANGE(""https://docs.google.com/spreadsheets/d/11923uPwbBZFjjGgGUA6NLw09EwE0CqkOc4q9oUmW1yo/edit?usp=sharing"",""แม่ฮ่องสอน!J555"")"),0)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5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IFERROR(__xludf.DUMMYFUNCTION("IMPORTRANGE(""https://docs.google.com/spreadsheets/d/11923uPwbBZFjjGgGUA6NLw09EwE0CqkOc4q9oUmW1yo/edit?usp=sharing"",""แม่ฮ่องสอน!J556"")"),0)</f>
        <v>0</v>
      </c>
      <c r="K661" s="536"/>
      <c r="L661" s="521">
        <f ca="1">IFERROR(__xludf.DUMMYFUNCTION("IMPORTRANGE(""https://docs.google.com/spreadsheets/d/11923uPwbBZFjjGgGUA6NLw09EwE0CqkOc4q9oUmW1yo/edit?usp=sharing"",""แม่ฮ่องสอน!L556"")"),0)</f>
        <v>0</v>
      </c>
      <c r="M661" s="520"/>
      <c r="N661" s="537">
        <f ca="1">IFERROR(__xludf.DUMMYFUNCTION("IMPORTRANGE(""https://docs.google.com/spreadsheets/d/11923uPwbBZFjjGgGUA6NLw09EwE0CqkOc4q9oUmW1yo/edit?usp=sharing"",""แม่ฮ่องสอน!M556"")"),0)</f>
        <v>0</v>
      </c>
      <c r="O661" s="536">
        <f ca="1">IF(L661&gt;0,N661*100/L661,0)</f>
        <v>0</v>
      </c>
      <c r="P661" s="536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IFERROR(__xludf.DUMMYFUNCTION("IMPORTRANGE(""https://docs.google.com/spreadsheets/d/11923uPwbBZFjjGgGUA6NLw09EwE0CqkOc4q9oUmW1yo/edit?usp=sharing"",""แม่ฮ่องสอน!J557"")"),0)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IFERROR(__xludf.DUMMYFUNCTION("IMPORTRANGE(""https://docs.google.com/spreadsheets/d/11923uPwbBZFjjGgGUA6NLw09EwE0CqkOc4q9oUmW1yo/edit?usp=sharing"",""แม่ฮ่องสอน!I558"")"),0)</f>
        <v>0</v>
      </c>
      <c r="J663" s="535">
        <f ca="1">IFERROR(__xludf.DUMMYFUNCTION("IMPORTRANGE(""https://docs.google.com/spreadsheets/d/11923uPwbBZFjjGgGUA6NLw09EwE0CqkOc4q9oUmW1yo/edit?usp=sharing"",""แม่ฮ่องสอน!J558"")"),0)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5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IFERROR(__xludf.DUMMYFUNCTION("IMPORTRANGE(""https://docs.google.com/spreadsheets/d/11923uPwbBZFjjGgGUA6NLw09EwE0CqkOc4q9oUmW1yo/edit?usp=sharing"",""แม่ฮ่องสอน!I560"")"),0)</f>
        <v>0</v>
      </c>
      <c r="J665" s="535">
        <f ca="1">IFERROR(__xludf.DUMMYFUNCTION("IMPORTRANGE(""https://docs.google.com/spreadsheets/d/11923uPwbBZFjjGgGUA6NLw09EwE0CqkOc4q9oUmW1yo/edit?usp=sharing"",""แม่ฮ่องสอน!J560"")"),0)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IFERROR(__xludf.DUMMYFUNCTION("IMPORTRANGE(""https://docs.google.com/spreadsheets/d/11923uPwbBZFjjGgGUA6NLw09EwE0CqkOc4q9oUmW1yo/edit?usp=sharing"",""แม่ฮ่องสอน!L560"")"),0)</f>
        <v>0</v>
      </c>
      <c r="M665" s="520"/>
      <c r="N665" s="537">
        <f ca="1">IFERROR(__xludf.DUMMYFUNCTION("IMPORTRANGE(""https://docs.google.com/spreadsheets/d/11923uPwbBZFjjGgGUA6NLw09EwE0CqkOc4q9oUmW1yo/edit?usp=sharing"",""แม่ฮ่องสอน!M560"")"),0)</f>
        <v>0</v>
      </c>
      <c r="O665" s="536">
        <f ca="1">IF(L665&gt;0,N665*100/L665,0)</f>
        <v>0</v>
      </c>
      <c r="P665" s="536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IFERROR(__xludf.DUMMYFUNCTION("IMPORTRANGE(""https://docs.google.com/spreadsheets/d/11923uPwbBZFjjGgGUA6NLw09EwE0CqkOc4q9oUmW1yo/edit?usp=sharing"",""แม่ฮ่องสอน!J561"")"),0)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IFERROR(__xludf.DUMMYFUNCTION("IMPORTRANGE(""https://docs.google.com/spreadsheets/d/11923uPwbBZFjjGgGUA6NLw09EwE0CqkOc4q9oUmW1yo/edit?usp=sharing"",""แม่ฮ่องสอน!J562"")"),0)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IFERROR(__xludf.DUMMYFUNCTION("IMPORTRANGE(""https://docs.google.com/spreadsheets/d/11923uPwbBZFjjGgGUA6NLw09EwE0CqkOc4q9oUmW1yo/edit?usp=sharing"",""แม่ฮ่องสอน!I563"")"),0)</f>
        <v>0</v>
      </c>
      <c r="J668" s="535">
        <f ca="1">IFERROR(__xludf.DUMMYFUNCTION("IMPORTRANGE(""https://docs.google.com/spreadsheets/d/11923uPwbBZFjjGgGUA6NLw09EwE0CqkOc4q9oUmW1yo/edit?usp=sharing"",""แม่ฮ่องสอน!J563"")"),0)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IFERROR(__xludf.DUMMYFUNCTION("IMPORTRANGE(""https://docs.google.com/spreadsheets/d/11923uPwbBZFjjGgGUA6NLw09EwE0CqkOc4q9oUmW1yo/edit?usp=sharing"",""แม่ฮ่องสอน!L563"")"),0)</f>
        <v>0</v>
      </c>
      <c r="M668" s="520"/>
      <c r="N668" s="537">
        <f ca="1">IFERROR(__xludf.DUMMYFUNCTION("IMPORTRANGE(""https://docs.google.com/spreadsheets/d/11923uPwbBZFjjGgGUA6NLw09EwE0CqkOc4q9oUmW1yo/edit?usp=sharing"",""แม่ฮ่องสอน!M563"")"),0)</f>
        <v>0</v>
      </c>
      <c r="O668" s="536">
        <f ca="1">IF(L668&gt;0,N668*100/L668,0)</f>
        <v>0</v>
      </c>
      <c r="P668" s="536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IFERROR(__xludf.DUMMYFUNCTION("IMPORTRANGE(""https://docs.google.com/spreadsheets/d/11923uPwbBZFjjGgGUA6NLw09EwE0CqkOc4q9oUmW1yo/edit?usp=sharing"",""แม่ฮ่องสอน!J564"")"),0)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IFERROR(__xludf.DUMMYFUNCTION("IMPORTRANGE(""https://docs.google.com/spreadsheets/d/11923uPwbBZFjjGgGUA6NLw09EwE0CqkOc4q9oUmW1yo/edit?usp=sharing"",""แม่ฮ่องสอน!J565"")"),0)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5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IFERROR(__xludf.DUMMYFUNCTION("IMPORTRANGE(""https://docs.google.com/spreadsheets/d/11923uPwbBZFjjGgGUA6NLw09EwE0CqkOc4q9oUmW1yo/edit?usp=sharing"",""แม่ฮ่องสอน!I566"")"),0)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IFERROR(__xludf.DUMMYFUNCTION("IMPORTRANGE(""https://docs.google.com/spreadsheets/d/11923uPwbBZFjjGgGUA6NLw09EwE0CqkOc4q9oUmW1yo/edit?usp=sharing"",""แม่ฮ่องสอน!L566"")"),0)</f>
        <v>0</v>
      </c>
      <c r="M671" s="520"/>
      <c r="N671" s="537">
        <f ca="1">IFERROR(__xludf.DUMMYFUNCTION("IMPORTRANGE(""https://docs.google.com/spreadsheets/d/11923uPwbBZFjjGgGUA6NLw09EwE0CqkOc4q9oUmW1yo/edit?usp=sharing"",""แม่ฮ่องสอน!M566"")"),0)</f>
        <v>0</v>
      </c>
      <c r="O671" s="536">
        <f ca="1">IF(L671&gt;0,N671*100/L671,0)</f>
        <v>0</v>
      </c>
      <c r="P671" s="536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IFERROR(__xludf.DUMMYFUNCTION("IMPORTRANGE(""https://docs.google.com/spreadsheets/d/11923uPwbBZFjjGgGUA6NLw09EwE0CqkOc4q9oUmW1yo/edit?usp=sharing"",""แม่ฮ่องสอน!J567"")"),0)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IFERROR(__xludf.DUMMYFUNCTION("IMPORTRANGE(""https://docs.google.com/spreadsheets/d/11923uPwbBZFjjGgGUA6NLw09EwE0CqkOc4q9oUmW1yo/edit?usp=sharing"",""แม่ฮ่องสอน!J568"")"),0)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IFERROR(__xludf.DUMMYFUNCTION("IMPORTRANGE(""https://docs.google.com/spreadsheets/d/11923uPwbBZFjjGgGUA6NLw09EwE0CqkOc4q9oUmW1yo/edit?usp=sharing"",""แม่ฮ่องสอน!J569"")"),0)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IFERROR(__xludf.DUMMYFUNCTION("IMPORTRANGE(""https://docs.google.com/spreadsheets/d/11923uPwbBZFjjGgGUA6NLw09EwE0CqkOc4q9oUmW1yo/edit?usp=sharing"",""แม่ฮ่องสอน!J570"")"),0)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IFERROR(__xludf.DUMMYFUNCTION("IMPORTRANGE(""https://docs.google.com/spreadsheets/d/11923uPwbBZFjjGgGUA6NLw09EwE0CqkOc4q9oUmW1yo/edit?usp=sharing"",""แม่ฮ่องสอน!J571"")"),0)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5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IFERROR(__xludf.DUMMYFUNCTION("IMPORTRANGE(""https://docs.google.com/spreadsheets/d/11923uPwbBZFjjGgGUA6NLw09EwE0CqkOc4q9oUmW1yo/edit?usp=sharing"",""แม่ฮ่องสอน!J572"")"),0)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35">
      <c r="A2" s="577" t="s">
        <v>284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3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5350855</v>
      </c>
      <c r="M8" s="23">
        <f t="shared" ca="1" si="0"/>
        <v>2228150</v>
      </c>
      <c r="N8" s="23">
        <f t="shared" ca="1" si="0"/>
        <v>2768600.83</v>
      </c>
      <c r="O8" s="22">
        <f t="shared" ref="O8:O16" ca="1" si="1">IF(L8&gt;0,N8*100/L8,0)</f>
        <v>51.741279290879682</v>
      </c>
      <c r="P8" s="22">
        <f t="shared" ref="P8:P16" ca="1" si="2">IF(M8&gt;0,N8*100/M8,0)</f>
        <v>124.25558557547741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5350855</v>
      </c>
      <c r="M10" s="30">
        <f t="shared" ca="1" si="4"/>
        <v>2228150</v>
      </c>
      <c r="N10" s="30">
        <f t="shared" ca="1" si="4"/>
        <v>2768600.83</v>
      </c>
      <c r="O10" s="29">
        <f t="shared" ca="1" si="1"/>
        <v>51.741279290879682</v>
      </c>
      <c r="P10" s="29">
        <f t="shared" ca="1" si="2"/>
        <v>124.25558557547741</v>
      </c>
    </row>
    <row r="11" spans="1:16" ht="21.75" customHeight="1" x14ac:dyDescent="0.45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5140860</v>
      </c>
      <c r="M12" s="39">
        <f t="shared" ca="1" si="6"/>
        <v>2018155</v>
      </c>
      <c r="N12" s="39">
        <f t="shared" ca="1" si="6"/>
        <v>2558605.83</v>
      </c>
      <c r="O12" s="39">
        <f t="shared" ca="1" si="1"/>
        <v>49.769996265216328</v>
      </c>
      <c r="P12" s="39">
        <f t="shared" ca="1" si="2"/>
        <v>126.77945103324571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1833600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3307260</v>
      </c>
      <c r="M14" s="39">
        <f t="shared" si="8"/>
        <v>0</v>
      </c>
      <c r="N14" s="39">
        <f t="shared" ca="1" si="8"/>
        <v>940670.58999999985</v>
      </c>
      <c r="O14" s="39">
        <f t="shared" ca="1" si="1"/>
        <v>28.44259568343583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209995</v>
      </c>
      <c r="M16" s="39">
        <f t="shared" ca="1" si="10"/>
        <v>209995</v>
      </c>
      <c r="N16" s="39">
        <f t="shared" ca="1" si="10"/>
        <v>209995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2717420</v>
      </c>
      <c r="M18" s="23">
        <f t="shared" ca="1" si="11"/>
        <v>2228150</v>
      </c>
      <c r="N18" s="23">
        <f t="shared" ca="1" si="11"/>
        <v>1827930.24</v>
      </c>
      <c r="O18" s="22">
        <f t="shared" ref="O18:O20" ca="1" si="12">IF(L18&gt;0,N18*100/L18,0)</f>
        <v>67.267122491186498</v>
      </c>
      <c r="P18" s="22">
        <f t="shared" ref="P18:P26" ca="1" si="13">IF(M18&gt;0,N18*100/M18,0)</f>
        <v>82.038024369993039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2717420</v>
      </c>
      <c r="M20" s="30">
        <f t="shared" ca="1" si="15"/>
        <v>2228150</v>
      </c>
      <c r="N20" s="30">
        <f t="shared" ca="1" si="15"/>
        <v>1827930.24</v>
      </c>
      <c r="O20" s="29">
        <f t="shared" ca="1" si="12"/>
        <v>67.267122491186498</v>
      </c>
      <c r="P20" s="29">
        <f t="shared" ca="1" si="13"/>
        <v>82.038024369993039</v>
      </c>
    </row>
    <row r="21" spans="1:16" ht="21.75" customHeight="1" x14ac:dyDescent="0.45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2507425</v>
      </c>
      <c r="M22" s="42">
        <f t="shared" ca="1" si="18"/>
        <v>2018155</v>
      </c>
      <c r="N22" s="39">
        <f t="shared" ca="1" si="18"/>
        <v>1617935.24</v>
      </c>
      <c r="O22" s="39">
        <f t="shared" ca="1" si="17"/>
        <v>64.525768068835561</v>
      </c>
      <c r="P22" s="39">
        <f t="shared" ca="1" si="13"/>
        <v>80.169027651493565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1833600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673825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209995</v>
      </c>
      <c r="M26" s="50">
        <f t="shared" ca="1" si="22"/>
        <v>209995</v>
      </c>
      <c r="N26" s="50">
        <f t="shared" ca="1" si="22"/>
        <v>209995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2633435</v>
      </c>
      <c r="M28" s="23">
        <f t="shared" si="23"/>
        <v>0</v>
      </c>
      <c r="N28" s="23">
        <f t="shared" ca="1" si="23"/>
        <v>940670.58999999985</v>
      </c>
      <c r="O28" s="22">
        <f t="shared" ref="O28:O30" ca="1" si="24">IF(L28&gt;0,N28*100/L28,0)</f>
        <v>35.720288900238657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2633435</v>
      </c>
      <c r="M30" s="30">
        <f t="shared" si="27"/>
        <v>0</v>
      </c>
      <c r="N30" s="30">
        <f t="shared" ca="1" si="27"/>
        <v>940670.58999999985</v>
      </c>
      <c r="O30" s="29">
        <f t="shared" ca="1" si="24"/>
        <v>35.720288900238657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2633435</v>
      </c>
      <c r="M32" s="39">
        <f t="shared" si="30"/>
        <v>0</v>
      </c>
      <c r="N32" s="39">
        <f t="shared" ca="1" si="30"/>
        <v>940670.58999999985</v>
      </c>
      <c r="O32" s="39">
        <f t="shared" ca="1" si="29"/>
        <v>35.720288900238657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2633435</v>
      </c>
      <c r="M34" s="39">
        <f t="shared" si="32"/>
        <v>0</v>
      </c>
      <c r="N34" s="39">
        <f t="shared" ca="1" si="32"/>
        <v>940670.58999999985</v>
      </c>
      <c r="O34" s="39">
        <f t="shared" ca="1" si="29"/>
        <v>35.720288900238657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2717420</v>
      </c>
      <c r="M37" s="55">
        <f t="shared" ca="1" si="33"/>
        <v>2228150</v>
      </c>
      <c r="N37" s="55">
        <f t="shared" ca="1" si="33"/>
        <v>1827930.2399999998</v>
      </c>
      <c r="O37" s="56">
        <f t="shared" ca="1" si="29"/>
        <v>67.267122491186484</v>
      </c>
      <c r="P37" s="56">
        <f t="shared" ca="1" si="25"/>
        <v>82.038024369993025</v>
      </c>
    </row>
    <row r="38" spans="1:16" ht="21.75" customHeight="1" x14ac:dyDescent="0.45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644400</v>
      </c>
      <c r="M41" s="79">
        <f t="shared" ca="1" si="34"/>
        <v>483300</v>
      </c>
      <c r="N41" s="79">
        <f t="shared" ca="1" si="34"/>
        <v>439561.18</v>
      </c>
      <c r="O41" s="78">
        <f t="shared" ref="O41:O43" ca="1" si="35">IF(L41&gt;0,N41*100/L41,0)</f>
        <v>68.212473618870263</v>
      </c>
      <c r="P41" s="78">
        <f t="shared" ref="P41:P43" ca="1" si="36">IF(M41&gt;0,N41*100/M41,0)</f>
        <v>90.94996482516035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644400</v>
      </c>
      <c r="M43" s="79">
        <f t="shared" ca="1" si="38"/>
        <v>483300</v>
      </c>
      <c r="N43" s="79">
        <f t="shared" ca="1" si="38"/>
        <v>439561.18</v>
      </c>
      <c r="O43" s="78">
        <f t="shared" ca="1" si="35"/>
        <v>68.212473618870263</v>
      </c>
      <c r="P43" s="78">
        <f t="shared" ca="1" si="36"/>
        <v>90.94996482516035</v>
      </c>
    </row>
    <row r="44" spans="1:16" ht="21.75" customHeight="1" x14ac:dyDescent="0.45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644400</v>
      </c>
      <c r="M45" s="50">
        <f ca="1">IFERROR(__xludf.DUMMYFUNCTION("IMPORTRANGE(""https://docs.google.com/spreadsheets/d/1Yj_ptqi66GCucihVvJfMjLAmec39IyEx_6qawtMGysU/edit?usp=sharing"",""สบก!Q32"")"),483300)</f>
        <v>483300</v>
      </c>
      <c r="N45" s="50">
        <f ca="1">IFERROR(__xludf.DUMMYFUNCTION("IMPORTRANGE(""https://docs.google.com/spreadsheets/d/1Yj_ptqi66GCucihVvJfMjLAmec39IyEx_6qawtMGysU/edit?usp=sharing"",""สบก!R32"")"),439561.18)</f>
        <v>439561.18</v>
      </c>
      <c r="O45" s="39">
        <f ca="1">IF(L45&gt;0,N45*100/L45,0)</f>
        <v>68.212473618870263</v>
      </c>
      <c r="P45" s="39">
        <f ca="1">IF(M45&gt;0,N45*100/M45,0)</f>
        <v>90.94996482516035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IFERROR(__xludf.DUMMYFUNCTION("IMPORTRANGE(""https://docs.google.com/spreadsheets/d/1Yj_ptqi66GCucihVvJfMjLAmec39IyEx_6qawtMGysU/edit?usp=sharing"",""สบก!M32"")"),644400)</f>
        <v>644400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IFERROR(__xludf.DUMMYFUNCTION("IMPORTRANGE(""https://docs.google.com/spreadsheets/d/1Yj_ptqi66GCucihVvJfMjLAmec39IyEx_6qawtMGysU/edit?usp=sharing"",""สบก!N32"")"),0)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IFERROR(__xludf.DUMMYFUNCTION("IMPORTRANGE(""https://docs.google.com/spreadsheets/d/1Yj_ptqi66GCucihVvJfMjLAmec39IyEx_6qawtMGysU/edit?usp=sharing"",""สบก!O32"")"),0)</f>
        <v>0</v>
      </c>
      <c r="M49" s="50"/>
      <c r="N49" s="50">
        <f ca="1">IFERROR(__xludf.DUMMYFUNCTION("IMPORTRANGE(""https://docs.google.com/spreadsheets/d/1Yj_ptqi66GCucihVvJfMjLAmec39IyEx_6qawtMGysU/edit?usp=sharing"",""สบก!S32"")"),0)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566000</v>
      </c>
      <c r="M53" s="121">
        <f t="shared" ca="1" si="39"/>
        <v>438720</v>
      </c>
      <c r="N53" s="121">
        <f t="shared" ca="1" si="39"/>
        <v>348294</v>
      </c>
      <c r="O53" s="120">
        <f t="shared" ref="O53:O55" ca="1" si="40">IF(L53&gt;0,N53*100/L53,0)</f>
        <v>61.536042402826858</v>
      </c>
      <c r="P53" s="120">
        <f t="shared" ref="P53:P55" ca="1" si="41">IF(M53&gt;0,N53*100/M53,0)</f>
        <v>79.388676148796492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566000</v>
      </c>
      <c r="M55" s="121">
        <f t="shared" ca="1" si="43"/>
        <v>438720</v>
      </c>
      <c r="N55" s="121">
        <f t="shared" ca="1" si="43"/>
        <v>348294</v>
      </c>
      <c r="O55" s="120">
        <f t="shared" ca="1" si="40"/>
        <v>61.536042402826858</v>
      </c>
      <c r="P55" s="120">
        <f t="shared" ca="1" si="41"/>
        <v>79.388676148796492</v>
      </c>
    </row>
    <row r="56" spans="1:16" ht="21.75" customHeight="1" x14ac:dyDescent="0.45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566000</v>
      </c>
      <c r="M57" s="50">
        <f ca="1">IFERROR(__xludf.DUMMYFUNCTION("IMPORTRANGE(""https://docs.google.com/spreadsheets/d/1Yj_ptqi66GCucihVvJfMjLAmec39IyEx_6qawtMGysU/edit?usp=sharing"",""สบก!Z32"")"),438720)</f>
        <v>438720</v>
      </c>
      <c r="N57" s="50">
        <f ca="1">IFERROR(__xludf.DUMMYFUNCTION("IMPORTRANGE(""https://docs.google.com/spreadsheets/d/1Yj_ptqi66GCucihVvJfMjLAmec39IyEx_6qawtMGysU/edit?usp=sharing"",""สบก!AA32"")"),348294)</f>
        <v>348294</v>
      </c>
      <c r="O57" s="39">
        <f ca="1">IF(L57&gt;0,N57*100/L57,0)</f>
        <v>61.536042402826858</v>
      </c>
      <c r="P57" s="39">
        <f ca="1">IF(M57&gt;0,N57*100/M57,0)</f>
        <v>79.388676148796492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IFERROR(__xludf.DUMMYFUNCTION("IMPORTRANGE(""https://docs.google.com/spreadsheets/d/1Yj_ptqi66GCucihVvJfMjLAmec39IyEx_6qawtMGysU/edit?usp=sharing"",""สบก!V32"")"),566000)</f>
        <v>566000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IFERROR(__xludf.DUMMYFUNCTION("IMPORTRANGE(""https://docs.google.com/spreadsheets/d/1Yj_ptqi66GCucihVvJfMjLAmec39IyEx_6qawtMGysU/edit?usp=sharing"",""สบก!W32"")"),0)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IFERROR(__xludf.DUMMYFUNCTION("IMPORTRANGE(""https://docs.google.com/spreadsheets/d/1Yj_ptqi66GCucihVvJfMjLAmec39IyEx_6qawtMGysU/edit?usp=sharing"",""สบก!X32"")"),0)</f>
        <v>0</v>
      </c>
      <c r="M61" s="50"/>
      <c r="N61" s="50">
        <f ca="1">IFERROR(__xludf.DUMMYFUNCTION("IMPORTRANGE(""https://docs.google.com/spreadsheets/d/1Yj_ptqi66GCucihVvJfMjLAmec39IyEx_6qawtMGysU/edit?usp=sharing"",""สบก!AB32"")"),0)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IFERROR(__xludf.DUMMYFUNCTION("IMPORTRANGE(""https://docs.google.com/spreadsheets/d/11923uPwbBZFjjGgGUA6NLw09EwE0CqkOc4q9oUmW1yo/edit?usp=sharing"",""ลำปาง!I9"")"),0)</f>
        <v>0</v>
      </c>
      <c r="J64" s="142">
        <f ca="1">IFERROR(__xludf.DUMMYFUNCTION("IMPORTRANGE(""https://docs.google.com/spreadsheets/d/11923uPwbBZFjjGgGUA6NLw09EwE0CqkOc4q9oUmW1yo/edit?usp=sharing"",""ลำปาง!J9"")"),0)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IFERROR(__xludf.DUMMYFUNCTION("IMPORTRANGE(""https://docs.google.com/spreadsheets/d/11923uPwbBZFjjGgGUA6NLw09EwE0CqkOc4q9oUmW1yo/edit?usp=sharing"",""ลำปาง!I10"")"),0)</f>
        <v>0</v>
      </c>
      <c r="J65" s="142">
        <f ca="1">IFERROR(__xludf.DUMMYFUNCTION("IMPORTRANGE(""https://docs.google.com/spreadsheets/d/11923uPwbBZFjjGgGUA6NLw09EwE0CqkOc4q9oUmW1yo/edit?usp=sharing"",""ลำปาง!J10"")"),0)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IFERROR(__xludf.DUMMYFUNCTION("IMPORTRANGE(""https://docs.google.com/spreadsheets/d/1Yj_ptqi66GCucihVvJfMjLAmec39IyEx_6qawtMGysU/edit?usp=sharing"",""สบก!AI32"")"),0)</f>
        <v>0</v>
      </c>
      <c r="N70" s="168">
        <f ca="1">IFERROR(__xludf.DUMMYFUNCTION("IMPORTRANGE(""https://docs.google.com/spreadsheets/d/1Yj_ptqi66GCucihVvJfMjLAmec39IyEx_6qawtMGysU/edit?usp=sharing"",""สบก!AJ32"")"),0)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IFERROR(__xludf.DUMMYFUNCTION("IMPORTRANGE(""https://docs.google.com/spreadsheets/d/1Yj_ptqi66GCucihVvJfMjLAmec39IyEx_6qawtMGysU/edit?usp=sharing"",""สบก!AE32"")"),0)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IFERROR(__xludf.DUMMYFUNCTION("IMPORTRANGE(""https://docs.google.com/spreadsheets/d/1Yj_ptqi66GCucihVvJfMjLAmec39IyEx_6qawtMGysU/edit?usp=sharing"",""สบก!AF32"")"),0)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IFERROR(__xludf.DUMMYFUNCTION("IMPORTRANGE(""https://docs.google.com/spreadsheets/d/1Yj_ptqi66GCucihVvJfMjLAmec39IyEx_6qawtMGysU/edit?usp=sharing"",""สบก!AG32"")"),0)</f>
        <v>0</v>
      </c>
      <c r="M74" s="50"/>
      <c r="N74" s="50">
        <f ca="1">IFERROR(__xludf.DUMMYFUNCTION("IMPORTRANGE(""https://docs.google.com/spreadsheets/d/1Yj_ptqi66GCucihVvJfMjLAmec39IyEx_6qawtMGysU/edit?usp=sharing"",""สบก!AK32"")"),0)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IFERROR(__xludf.DUMMYFUNCTION("IMPORTRANGE(""https://docs.google.com/spreadsheets/d/11923uPwbBZFjjGgGUA6NLw09EwE0CqkOc4q9oUmW1yo/edit?usp=sharing"",""ลำปาง!J16"")"),0)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IFERROR(__xludf.DUMMYFUNCTION("IMPORTRANGE(""https://docs.google.com/spreadsheets/d/11923uPwbBZFjjGgGUA6NLw09EwE0CqkOc4q9oUmW1yo/edit?usp=sharing"",""ลำปาง!J17"")"),0)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IFERROR(__xludf.DUMMYFUNCTION("IMPORTRANGE(""https://docs.google.com/spreadsheets/d/11923uPwbBZFjjGgGUA6NLw09EwE0CqkOc4q9oUmW1yo/edit?usp=sharing"",""ลำปาง!J18"")"),0)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IFERROR(__xludf.DUMMYFUNCTION("IMPORTRANGE(""https://docs.google.com/spreadsheets/d/11923uPwbBZFjjGgGUA6NLw09EwE0CqkOc4q9oUmW1yo/edit?usp=sharing"",""ลำปาง!J19"")"),0)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IFERROR(__xludf.DUMMYFUNCTION("IMPORTRANGE(""https://docs.google.com/spreadsheets/d/11923uPwbBZFjjGgGUA6NLw09EwE0CqkOc4q9oUmW1yo/edit?usp=sharing"",""ลำปาง!I20"")"),0)</f>
        <v>0</v>
      </c>
      <c r="J80" s="200">
        <f ca="1">IFERROR(__xludf.DUMMYFUNCTION("IMPORTRANGE(""https://docs.google.com/spreadsheets/d/11923uPwbBZFjjGgGUA6NLw09EwE0CqkOc4q9oUmW1yo/edit?usp=sharing"",""ลำปาง!J20"")"),0)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IFERROR(__xludf.DUMMYFUNCTION("IMPORTRANGE(""https://docs.google.com/spreadsheets/d/11923uPwbBZFjjGgGUA6NLw09EwE0CqkOc4q9oUmW1yo/edit?usp=sharing"",""ลำปาง!I21"")"),0)</f>
        <v>0</v>
      </c>
      <c r="J81" s="200">
        <f ca="1">IFERROR(__xludf.DUMMYFUNCTION("IMPORTRANGE(""https://docs.google.com/spreadsheets/d/11923uPwbBZFjjGgGUA6NLw09EwE0CqkOc4q9oUmW1yo/edit?usp=sharing"",""ลำปาง!J21"")"),0)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IFERROR(__xludf.DUMMYFUNCTION("IMPORTRANGE(""https://docs.google.com/spreadsheets/d/11923uPwbBZFjjGgGUA6NLw09EwE0CqkOc4q9oUmW1yo/edit?usp=sharing"",""ลำปาง!I22"")"),0)</f>
        <v>0</v>
      </c>
      <c r="J82" s="203">
        <f ca="1">IFERROR(__xludf.DUMMYFUNCTION("IMPORTRANGE(""https://docs.google.com/spreadsheets/d/11923uPwbBZFjjGgGUA6NLw09EwE0CqkOc4q9oUmW1yo/edit?usp=sharing"",""ลำปาง!J22"")"),0)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IFERROR(__xludf.DUMMYFUNCTION("IMPORTRANGE(""https://docs.google.com/spreadsheets/d/11923uPwbBZFjjGgGUA6NLw09EwE0CqkOc4q9oUmW1yo/edit?usp=sharing"",""ลำปาง!I23"")"),0)</f>
        <v>0</v>
      </c>
      <c r="J83" s="203">
        <f ca="1">IFERROR(__xludf.DUMMYFUNCTION("IMPORTRANGE(""https://docs.google.com/spreadsheets/d/11923uPwbBZFjjGgGUA6NLw09EwE0CqkOc4q9oUmW1yo/edit?usp=sharing"",""ลำปาง!J23"")"),0)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IFERROR(__xludf.DUMMYFUNCTION("IMPORTRANGE(""https://docs.google.com/spreadsheets/d/11923uPwbBZFjjGgGUA6NLw09EwE0CqkOc4q9oUmW1yo/edit?usp=sharing"",""ลำปาง!I24"")"),0)</f>
        <v>0</v>
      </c>
      <c r="J84" s="188">
        <f ca="1">IFERROR(__xludf.DUMMYFUNCTION("IMPORTRANGE(""https://docs.google.com/spreadsheets/d/11923uPwbBZFjjGgGUA6NLw09EwE0CqkOc4q9oUmW1yo/edit?usp=sharing"",""ลำปาง!J24"")"),0)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IFERROR(__xludf.DUMMYFUNCTION("IMPORTRANGE(""https://docs.google.com/spreadsheets/d/11923uPwbBZFjjGgGUA6NLw09EwE0CqkOc4q9oUmW1yo/edit?usp=sharing"",""ลำปาง!I25"")"),0)</f>
        <v>0</v>
      </c>
      <c r="J85" s="188">
        <f ca="1">IFERROR(__xludf.DUMMYFUNCTION("IMPORTRANGE(""https://docs.google.com/spreadsheets/d/11923uPwbBZFjjGgGUA6NLw09EwE0CqkOc4q9oUmW1yo/edit?usp=sharing"",""ลำปาง!J25"")"),0)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IFERROR(__xludf.DUMMYFUNCTION("IMPORTRANGE(""https://docs.google.com/spreadsheets/d/11923uPwbBZFjjGgGUA6NLw09EwE0CqkOc4q9oUmW1yo/edit?usp=sharing"",""ลำปาง!I26"")"),0)</f>
        <v>0</v>
      </c>
      <c r="J86" s="203">
        <f ca="1">IFERROR(__xludf.DUMMYFUNCTION("IMPORTRANGE(""https://docs.google.com/spreadsheets/d/11923uPwbBZFjjGgGUA6NLw09EwE0CqkOc4q9oUmW1yo/edit?usp=sharing"",""ลำปาง!J26"")"),0)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IFERROR(__xludf.DUMMYFUNCTION("IMPORTRANGE(""https://docs.google.com/spreadsheets/d/11923uPwbBZFjjGgGUA6NLw09EwE0CqkOc4q9oUmW1yo/edit?usp=sharing"",""ลำปาง!I27"")"),0)</f>
        <v>0</v>
      </c>
      <c r="J87" s="203">
        <f ca="1">IFERROR(__xludf.DUMMYFUNCTION("IMPORTRANGE(""https://docs.google.com/spreadsheets/d/11923uPwbBZFjjGgGUA6NLw09EwE0CqkOc4q9oUmW1yo/edit?usp=sharing"",""ลำปาง!J27"")"),0)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IFERROR(__xludf.DUMMYFUNCTION("IMPORTRANGE(""https://docs.google.com/spreadsheets/d/11923uPwbBZFjjGgGUA6NLw09EwE0CqkOc4q9oUmW1yo/edit?usp=sharing"",""ลำปาง!I28"")"),0)</f>
        <v>0</v>
      </c>
      <c r="J88" s="203">
        <f ca="1">IFERROR(__xludf.DUMMYFUNCTION("IMPORTRANGE(""https://docs.google.com/spreadsheets/d/11923uPwbBZFjjGgGUA6NLw09EwE0CqkOc4q9oUmW1yo/edit?usp=sharing"",""ลำปาง!J28"")"),0)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IFERROR(__xludf.DUMMYFUNCTION("IMPORTRANGE(""https://docs.google.com/spreadsheets/d/11923uPwbBZFjjGgGUA6NLw09EwE0CqkOc4q9oUmW1yo/edit?usp=sharing"",""ลำปาง!J29"")"),0)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IFERROR(__xludf.DUMMYFUNCTION("IMPORTRANGE(""https://docs.google.com/spreadsheets/d/11923uPwbBZFjjGgGUA6NLw09EwE0CqkOc4q9oUmW1yo/edit?usp=sharing"",""ลำปาง!J30"")"),0)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IFERROR(__xludf.DUMMYFUNCTION("IMPORTRANGE(""https://docs.google.com/spreadsheets/d/11923uPwbBZFjjGgGUA6NLw09EwE0CqkOc4q9oUmW1yo/edit?usp=sharing"",""ลำปาง!I32"")"),4)</f>
        <v>4</v>
      </c>
      <c r="J92" s="142">
        <f ca="1">IFERROR(__xludf.DUMMYFUNCTION("IMPORTRANGE(""https://docs.google.com/spreadsheets/d/11923uPwbBZFjjGgGUA6NLw09EwE0CqkOc4q9oUmW1yo/edit?usp=sharing"",""ลำปาง!J32"")"),4)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IFERROR(__xludf.DUMMYFUNCTION("IMPORTRANGE(""https://docs.google.com/spreadsheets/d/11923uPwbBZFjjGgGUA6NLw09EwE0CqkOc4q9oUmW1yo/edit?usp=sharing"",""ลำปาง!I33"")"),1)</f>
        <v>1</v>
      </c>
      <c r="J93" s="142">
        <f ca="1">IFERROR(__xludf.DUMMYFUNCTION("IMPORTRANGE(""https://docs.google.com/spreadsheets/d/11923uPwbBZFjjGgGUA6NLw09EwE0CqkOc4q9oUmW1yo/edit?usp=sharing"",""ลำปาง!J33"")"),1)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212095</v>
      </c>
      <c r="M94" s="152">
        <f t="shared" ca="1" si="52"/>
        <v>192050</v>
      </c>
      <c r="N94" s="152">
        <f t="shared" ca="1" si="52"/>
        <v>122555</v>
      </c>
      <c r="O94" s="151">
        <f t="shared" ref="O94:O96" ca="1" si="53">IF(L94&gt;0,N94*100/L94,0)</f>
        <v>57.783068907800747</v>
      </c>
      <c r="P94" s="151">
        <f t="shared" ref="P94:P96" ca="1" si="54">IF(M94&gt;0,N94*100/M94,0)</f>
        <v>63.81411090861755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212095</v>
      </c>
      <c r="M96" s="88">
        <f t="shared" ca="1" si="56"/>
        <v>192050</v>
      </c>
      <c r="N96" s="88">
        <f t="shared" ca="1" si="56"/>
        <v>122555</v>
      </c>
      <c r="O96" s="156">
        <f t="shared" ca="1" si="53"/>
        <v>57.783068907800747</v>
      </c>
      <c r="P96" s="156">
        <f t="shared" ca="1" si="54"/>
        <v>63.81411090861755</v>
      </c>
    </row>
    <row r="97" spans="1:16" ht="21.75" customHeight="1" x14ac:dyDescent="0.45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IFERROR(__xludf.DUMMYFUNCTION("IMPORTRANGE(""https://docs.google.com/spreadsheets/d/1Yj_ptqi66GCucihVvJfMjLAmec39IyEx_6qawtMGysU/edit?usp=sharing"",""สบก!AR32"")"),102055)</f>
        <v>102055</v>
      </c>
      <c r="N98" s="168">
        <f ca="1">IFERROR(__xludf.DUMMYFUNCTION("IMPORTRANGE(""https://docs.google.com/spreadsheets/d/1Yj_ptqi66GCucihVvJfMjLAmec39IyEx_6qawtMGysU/edit?usp=sharing"",""สบก!AS32"")"),32560)</f>
        <v>32560</v>
      </c>
      <c r="O98" s="168">
        <f ca="1">IF(L98&gt;0,N98*100/L98,0)</f>
        <v>26.666666666666668</v>
      </c>
      <c r="P98" s="168">
        <f ca="1">IF(M98&gt;0,N98*100/M98,0)</f>
        <v>31.904365293224242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IFERROR(__xludf.DUMMYFUNCTION("IMPORTRANGE(""https://docs.google.com/spreadsheets/d/1Yj_ptqi66GCucihVvJfMjLAmec39IyEx_6qawtMGysU/edit?usp=sharing"",""สบก!AN32"")"),0)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IFERROR(__xludf.DUMMYFUNCTION("IMPORTRANGE(""https://docs.google.com/spreadsheets/d/1Yj_ptqi66GCucihVvJfMjLAmec39IyEx_6qawtMGysU/edit?usp=sharing"",""สบก!AO32"")"),122100)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IFERROR(__xludf.DUMMYFUNCTION("IMPORTRANGE(""https://docs.google.com/spreadsheets/d/1Yj_ptqi66GCucihVvJfMjLAmec39IyEx_6qawtMGysU/edit?usp=sharing"",""สบก!AP32"")"),89995)</f>
        <v>89995</v>
      </c>
      <c r="M102" s="50">
        <f ca="1">L102</f>
        <v>89995</v>
      </c>
      <c r="N102" s="50">
        <f ca="1">IFERROR(__xludf.DUMMYFUNCTION("IMPORTRANGE(""https://docs.google.com/spreadsheets/d/1Yj_ptqi66GCucihVvJfMjLAmec39IyEx_6qawtMGysU/edit?usp=sharing"",""สบก!AT32"")"),89995)</f>
        <v>89995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IFERROR(__xludf.DUMMYFUNCTION("IMPORTRANGE(""https://docs.google.com/spreadsheets/d/11923uPwbBZFjjGgGUA6NLw09EwE0CqkOc4q9oUmW1yo/edit?usp=sharing"",""ลำปาง!J39"")"),0)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IFERROR(__xludf.DUMMYFUNCTION("IMPORTRANGE(""https://docs.google.com/spreadsheets/d/11923uPwbBZFjjGgGUA6NLw09EwE0CqkOc4q9oUmW1yo/edit?usp=sharing"",""ลำปาง!J40"")"),1)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IFERROR(__xludf.DUMMYFUNCTION("IMPORTRANGE(""https://docs.google.com/spreadsheets/d/11923uPwbBZFjjGgGUA6NLw09EwE0CqkOc4q9oUmW1yo/edit?usp=sharing"",""ลำปาง!J41"")"),1)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IFERROR(__xludf.DUMMYFUNCTION("IMPORTRANGE(""https://docs.google.com/spreadsheets/d/11923uPwbBZFjjGgGUA6NLw09EwE0CqkOc4q9oUmW1yo/edit?usp=sharing"",""ลำปาง!J42"")"),1)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IFERROR(__xludf.DUMMYFUNCTION("IMPORTRANGE(""https://docs.google.com/spreadsheets/d/11923uPwbBZFjjGgGUA6NLw09EwE0CqkOc4q9oUmW1yo/edit?usp=sharing"",""ลำปาง!I43"")"),1)</f>
        <v>1</v>
      </c>
      <c r="J108" s="203">
        <f ca="1">IFERROR(__xludf.DUMMYFUNCTION("IMPORTRANGE(""https://docs.google.com/spreadsheets/d/11923uPwbBZFjjGgGUA6NLw09EwE0CqkOc4q9oUmW1yo/edit?usp=sharing"",""ลำปาง!J43"")"),1)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IFERROR(__xludf.DUMMYFUNCTION("IMPORTRANGE(""https://docs.google.com/spreadsheets/d/11923uPwbBZFjjGgGUA6NLw09EwE0CqkOc4q9oUmW1yo/edit?usp=sharing"",""ลำปาง!I44"")"),4)</f>
        <v>4</v>
      </c>
      <c r="J109" s="203">
        <f ca="1">IFERROR(__xludf.DUMMYFUNCTION("IMPORTRANGE(""https://docs.google.com/spreadsheets/d/11923uPwbBZFjjGgGUA6NLw09EwE0CqkOc4q9oUmW1yo/edit?usp=sharing"",""ลำปาง!J44"")"),4)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IFERROR(__xludf.DUMMYFUNCTION("IMPORTRANGE(""https://docs.google.com/spreadsheets/d/11923uPwbBZFjjGgGUA6NLw09EwE0CqkOc4q9oUmW1yo/edit?usp=sharing"",""ลำปาง!I45"")"),4)</f>
        <v>4</v>
      </c>
      <c r="J110" s="203">
        <f ca="1">IFERROR(__xludf.DUMMYFUNCTION("IMPORTRANGE(""https://docs.google.com/spreadsheets/d/11923uPwbBZFjjGgGUA6NLw09EwE0CqkOc4q9oUmW1yo/edit?usp=sharing"",""ลำปาง!J45"")"),4)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IFERROR(__xludf.DUMMYFUNCTION("IMPORTRANGE(""https://docs.google.com/spreadsheets/d/11923uPwbBZFjjGgGUA6NLw09EwE0CqkOc4q9oUmW1yo/edit?usp=sharing"",""ลำปาง!I46"")"),4)</f>
        <v>4</v>
      </c>
      <c r="J111" s="203">
        <f ca="1">IFERROR(__xludf.DUMMYFUNCTION("IMPORTRANGE(""https://docs.google.com/spreadsheets/d/11923uPwbBZFjjGgGUA6NLw09EwE0CqkOc4q9oUmW1yo/edit?usp=sharing"",""ลำปาง!J46"")"),4)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IFERROR(__xludf.DUMMYFUNCTION("IMPORTRANGE(""https://docs.google.com/spreadsheets/d/11923uPwbBZFjjGgGUA6NLw09EwE0CqkOc4q9oUmW1yo/edit?usp=sharing"",""ลำปาง!I47"")"),4)</f>
        <v>4</v>
      </c>
      <c r="J112" s="203">
        <f ca="1">IFERROR(__xludf.DUMMYFUNCTION("IMPORTRANGE(""https://docs.google.com/spreadsheets/d/11923uPwbBZFjjGgGUA6NLw09EwE0CqkOc4q9oUmW1yo/edit?usp=sharing"",""ลำปาง!J47"")"),4)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IFERROR(__xludf.DUMMYFUNCTION("IMPORTRANGE(""https://docs.google.com/spreadsheets/d/11923uPwbBZFjjGgGUA6NLw09EwE0CqkOc4q9oUmW1yo/edit?usp=sharing"",""ลำปาง!I48"")"),1)</f>
        <v>1</v>
      </c>
      <c r="J113" s="203">
        <f ca="1">IFERROR(__xludf.DUMMYFUNCTION("IMPORTRANGE(""https://docs.google.com/spreadsheets/d/11923uPwbBZFjjGgGUA6NLw09EwE0CqkOc4q9oUmW1yo/edit?usp=sharing"",""ลำปาง!J48"")"),1)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IFERROR(__xludf.DUMMYFUNCTION("IMPORTRANGE(""https://docs.google.com/spreadsheets/d/11923uPwbBZFjjGgGUA6NLw09EwE0CqkOc4q9oUmW1yo/edit?usp=sharing"",""ลำปาง!J49"")"),0)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IFERROR(__xludf.DUMMYFUNCTION("IMPORTRANGE(""https://docs.google.com/spreadsheets/d/11923uPwbBZFjjGgGUA6NLw09EwE0CqkOc4q9oUmW1yo/edit?usp=sharing"",""ลำปาง!J50"")"),0)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IFERROR(__xludf.DUMMYFUNCTION("IMPORTRANGE(""https://docs.google.com/spreadsheets/d/11923uPwbBZFjjGgGUA6NLw09EwE0CqkOc4q9oUmW1yo/edit?usp=sharing"",""ลำปาง!I52"")"),0)</f>
        <v>0</v>
      </c>
      <c r="J117" s="142">
        <f ca="1">IFERROR(__xludf.DUMMYFUNCTION("IMPORTRANGE(""https://docs.google.com/spreadsheets/d/11923uPwbBZFjjGgGUA6NLw09EwE0CqkOc4q9oUmW1yo/edit?usp=sharing"",""ลำปาง!J52"")"),0)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IFERROR(__xludf.DUMMYFUNCTION("IMPORTRANGE(""https://docs.google.com/spreadsheets/d/1Yj_ptqi66GCucihVvJfMjLAmec39IyEx_6qawtMGysU/edit?usp=sharing"",""สบก!BA32"")"),0)</f>
        <v>0</v>
      </c>
      <c r="N122" s="168">
        <f ca="1">IFERROR(__xludf.DUMMYFUNCTION("IMPORTRANGE(""https://docs.google.com/spreadsheets/d/1Yj_ptqi66GCucihVvJfMjLAmec39IyEx_6qawtMGysU/edit?usp=sharing"",""สบก!BB32"")"),0)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IFERROR(__xludf.DUMMYFUNCTION("IMPORTRANGE(""https://docs.google.com/spreadsheets/d/1Yj_ptqi66GCucihVvJfMjLAmec39IyEx_6qawtMGysU/edit?usp=sharing"",""สบก!AW32"")"),0)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IFERROR(__xludf.DUMMYFUNCTION("IMPORTRANGE(""https://docs.google.com/spreadsheets/d/1Yj_ptqi66GCucihVvJfMjLAmec39IyEx_6qawtMGysU/edit?usp=sharing"",""สบก!AX32"")"),0)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IFERROR(__xludf.DUMMYFUNCTION("IMPORTRANGE(""https://docs.google.com/spreadsheets/d/1Yj_ptqi66GCucihVvJfMjLAmec39IyEx_6qawtMGysU/edit?usp=sharing"",""สบก!AY32"")"),0)</f>
        <v>0</v>
      </c>
      <c r="M126" s="50"/>
      <c r="N126" s="50">
        <f ca="1">IFERROR(__xludf.DUMMYFUNCTION("IMPORTRANGE(""https://docs.google.com/spreadsheets/d/1Yj_ptqi66GCucihVvJfMjLAmec39IyEx_6qawtMGysU/edit?usp=sharing"",""สบก!BC32"")"),0)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285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IFERROR(__xludf.DUMMYFUNCTION("IMPORTRANGE(""https://docs.google.com/spreadsheets/d/11923uPwbBZFjjGgGUA6NLw09EwE0CqkOc4q9oUmW1yo/edit?usp=sharing"",""ลำปาง!J58"")"),0)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IFERROR(__xludf.DUMMYFUNCTION("IMPORTRANGE(""https://docs.google.com/spreadsheets/d/11923uPwbBZFjjGgGUA6NLw09EwE0CqkOc4q9oUmW1yo/edit?usp=sharing"",""ลำปาง!J59"")"),0)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IFERROR(__xludf.DUMMYFUNCTION("IMPORTRANGE(""https://docs.google.com/spreadsheets/d/11923uPwbBZFjjGgGUA6NLw09EwE0CqkOc4q9oUmW1yo/edit?usp=sharing"",""ลำปาง!J60"")"),0)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IFERROR(__xludf.DUMMYFUNCTION("IMPORTRANGE(""https://docs.google.com/spreadsheets/d/11923uPwbBZFjjGgGUA6NLw09EwE0CqkOc4q9oUmW1yo/edit?usp=sharing"",""ลำปาง!J61"")"),0)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IFERROR(__xludf.DUMMYFUNCTION("IMPORTRANGE(""https://docs.google.com/spreadsheets/d/11923uPwbBZFjjGgGUA6NLw09EwE0CqkOc4q9oUmW1yo/edit?usp=sharing"",""ลำปาง!I62"")"),0)</f>
        <v>0</v>
      </c>
      <c r="J132" s="203">
        <f ca="1">IFERROR(__xludf.DUMMYFUNCTION("IMPORTRANGE(""https://docs.google.com/spreadsheets/d/11923uPwbBZFjjGgGUA6NLw09EwE0CqkOc4q9oUmW1yo/edit?usp=sharing"",""ลำปาง!J62"")"),0)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IFERROR(__xludf.DUMMYFUNCTION("IMPORTRANGE(""https://docs.google.com/spreadsheets/d/11923uPwbBZFjjGgGUA6NLw09EwE0CqkOc4q9oUmW1yo/edit?usp=sharing"",""ลำปาง!I63"")"),0)</f>
        <v>0</v>
      </c>
      <c r="J133" s="203">
        <f ca="1">IFERROR(__xludf.DUMMYFUNCTION("IMPORTRANGE(""https://docs.google.com/spreadsheets/d/11923uPwbBZFjjGgGUA6NLw09EwE0CqkOc4q9oUmW1yo/edit?usp=sharing"",""ลำปาง!J63"")"),0)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IFERROR(__xludf.DUMMYFUNCTION("IMPORTRANGE(""https://docs.google.com/spreadsheets/d/11923uPwbBZFjjGgGUA6NLw09EwE0CqkOc4q9oUmW1yo/edit?usp=sharing"",""ลำปาง!J64"")"),0)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IFERROR(__xludf.DUMMYFUNCTION("IMPORTRANGE(""https://docs.google.com/spreadsheets/d/11923uPwbBZFjjGgGUA6NLw09EwE0CqkOc4q9oUmW1yo/edit?usp=sharing"",""ลำปาง!J65"")"),0)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IFERROR(__xludf.DUMMYFUNCTION("IMPORTRANGE(""https://docs.google.com/spreadsheets/d/11923uPwbBZFjjGgGUA6NLw09EwE0CqkOc4q9oUmW1yo/edit?usp=sharing"",""ลำปาง!I68"")"),0)</f>
        <v>0</v>
      </c>
      <c r="J138" s="267">
        <f ca="1">IFERROR(__xludf.DUMMYFUNCTION("IMPORTRANGE(""https://docs.google.com/spreadsheets/d/11923uPwbBZFjjGgGUA6NLw09EwE0CqkOc4q9oUmW1yo/edit?usp=sharing"",""ลำปาง!J68"")"),0)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103225</v>
      </c>
      <c r="N140" s="152">
        <f t="shared" ca="1" si="64"/>
        <v>53983</v>
      </c>
      <c r="O140" s="151">
        <f t="shared" ref="O140:O142" ca="1" si="65">IF(L140&gt;0,N140*100/L140,0)</f>
        <v>78.236231884057972</v>
      </c>
      <c r="P140" s="151">
        <f t="shared" ref="P140:P142" ca="1" si="66">IF(M140&gt;0,N140*100/M140,0)</f>
        <v>52.296439815936061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103225</v>
      </c>
      <c r="N142" s="88">
        <f t="shared" ca="1" si="68"/>
        <v>53983</v>
      </c>
      <c r="O142" s="156">
        <f t="shared" ca="1" si="65"/>
        <v>78.236231884057972</v>
      </c>
      <c r="P142" s="156">
        <f t="shared" ca="1" si="66"/>
        <v>52.296439815936061</v>
      </c>
    </row>
    <row r="143" spans="1:16" ht="21.75" customHeight="1" x14ac:dyDescent="0.45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IFERROR(__xludf.DUMMYFUNCTION("IMPORTRANGE(""https://docs.google.com/spreadsheets/d/1Yj_ptqi66GCucihVvJfMjLAmec39IyEx_6qawtMGysU/edit?usp=sharing"",""สบก!BJ32"")"),103225)</f>
        <v>103225</v>
      </c>
      <c r="N144" s="168">
        <f ca="1">IFERROR(__xludf.DUMMYFUNCTION("IMPORTRANGE(""https://docs.google.com/spreadsheets/d/1Yj_ptqi66GCucihVvJfMjLAmec39IyEx_6qawtMGysU/edit?usp=sharing"",""สบก!BK32"")"),53983)</f>
        <v>53983</v>
      </c>
      <c r="O144" s="168">
        <f ca="1">IF(L144&gt;0,N144*100/L144,0)</f>
        <v>78.236231884057972</v>
      </c>
      <c r="P144" s="168">
        <f ca="1">IF(M144&gt;0,N144*100/M144,0)</f>
        <v>52.296439815936061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IFERROR(__xludf.DUMMYFUNCTION("IMPORTRANGE(""https://docs.google.com/spreadsheets/d/1Yj_ptqi66GCucihVvJfMjLAmec39IyEx_6qawtMGysU/edit?usp=sharing"",""สบก!BF32"")"),0)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IFERROR(__xludf.DUMMYFUNCTION("IMPORTRANGE(""https://docs.google.com/spreadsheets/d/1Yj_ptqi66GCucihVvJfMjLAmec39IyEx_6qawtMGysU/edit?usp=sharing"",""สบก!BG32"")"),69000)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IFERROR(__xludf.DUMMYFUNCTION("IMPORTRANGE(""https://docs.google.com/spreadsheets/d/1Yj_ptqi66GCucihVvJfMjLAmec39IyEx_6qawtMGysU/edit?usp=sharing"",""สบก!BH32"")"),0)</f>
        <v>0</v>
      </c>
      <c r="M148" s="50"/>
      <c r="N148" s="50">
        <f ca="1">IFERROR(__xludf.DUMMYFUNCTION("IMPORTRANGE(""https://docs.google.com/spreadsheets/d/1Yj_ptqi66GCucihVvJfMjLAmec39IyEx_6qawtMGysU/edit?usp=sharing"",""สบก!BL32"")"),0)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IFERROR(__xludf.DUMMYFUNCTION("IMPORTRANGE(""https://docs.google.com/spreadsheets/d/11923uPwbBZFjjGgGUA6NLw09EwE0CqkOc4q9oUmW1yo/edit?usp=sharing"",""ลำปาง!I74"")"),4)</f>
        <v>4</v>
      </c>
      <c r="J149" s="275">
        <f ca="1">IFERROR(__xludf.DUMMYFUNCTION("IMPORTRANGE(""https://docs.google.com/spreadsheets/d/11923uPwbBZFjjGgGUA6NLw09EwE0CqkOc4q9oUmW1yo/edit?usp=sharing"",""ลำปาง!J74"")"),2)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IFERROR(__xludf.DUMMYFUNCTION("IMPORTRANGE(""https://docs.google.com/spreadsheets/d/11923uPwbBZFjjGgGUA6NLw09EwE0CqkOc4q9oUmW1yo/edit?usp=sharing"",""ลำปาง!J79"")"),0)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IFERROR(__xludf.DUMMYFUNCTION("IMPORTRANGE(""https://docs.google.com/spreadsheets/d/11923uPwbBZFjjGgGUA6NLw09EwE0CqkOc4q9oUmW1yo/edit?usp=sharing"",""ลำปาง!J80"")"),1)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IFERROR(__xludf.DUMMYFUNCTION("IMPORTRANGE(""https://docs.google.com/spreadsheets/d/11923uPwbBZFjjGgGUA6NLw09EwE0CqkOc4q9oUmW1yo/edit?usp=sharing"",""ลำปาง!J81"")"),0)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IFERROR(__xludf.DUMMYFUNCTION("IMPORTRANGE(""https://docs.google.com/spreadsheets/d/11923uPwbBZFjjGgGUA6NLw09EwE0CqkOc4q9oUmW1yo/edit?usp=sharing"",""ลำปาง!J82"")"),1)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IFERROR(__xludf.DUMMYFUNCTION("IMPORTRANGE(""https://docs.google.com/spreadsheets/d/11923uPwbBZFjjGgGUA6NLw09EwE0CqkOc4q9oUmW1yo/edit?usp=sharing"",""ลำปาง!I83"")"),4)</f>
        <v>4</v>
      </c>
      <c r="J158" s="188">
        <f ca="1">IFERROR(__xludf.DUMMYFUNCTION("IMPORTRANGE(""https://docs.google.com/spreadsheets/d/11923uPwbBZFjjGgGUA6NLw09EwE0CqkOc4q9oUmW1yo/edit?usp=sharing"",""ลำปาง!J83"")"),2)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IFERROR(__xludf.DUMMYFUNCTION("IMPORTRANGE(""https://docs.google.com/spreadsheets/d/11923uPwbBZFjjGgGUA6NLw09EwE0CqkOc4q9oUmW1yo/edit?usp=sharing"",""ลำปาง!J84"")"),34)</f>
        <v>34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IFERROR(__xludf.DUMMYFUNCTION("IMPORTRANGE(""https://docs.google.com/spreadsheets/d/11923uPwbBZFjjGgGUA6NLw09EwE0CqkOc4q9oUmW1yo/edit?usp=sharing"",""ลำปาง!J85"")"),34)</f>
        <v>34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IFERROR(__xludf.DUMMYFUNCTION("IMPORTRANGE(""https://docs.google.com/spreadsheets/d/11923uPwbBZFjjGgGUA6NLw09EwE0CqkOc4q9oUmW1yo/edit?usp=sharing"",""ลำปาง!J86"")"),0)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IFERROR(__xludf.DUMMYFUNCTION("IMPORTRANGE(""https://docs.google.com/spreadsheets/d/11923uPwbBZFjjGgGUA6NLw09EwE0CqkOc4q9oUmW1yo/edit?usp=sharing"",""ลำปาง!J87"")"),0)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IFERROR(__xludf.DUMMYFUNCTION("IMPORTRANGE(""https://docs.google.com/spreadsheets/d/11923uPwbBZFjjGgGUA6NLw09EwE0CqkOc4q9oUmW1yo/edit?usp=sharing"",""ลำปาง!J88"")"),0)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IFERROR(__xludf.DUMMYFUNCTION("IMPORTRANGE(""https://docs.google.com/spreadsheets/d/11923uPwbBZFjjGgGUA6NLw09EwE0CqkOc4q9oUmW1yo/edit?usp=sharing"",""ลำปาง!I89"")"),3)</f>
        <v>3</v>
      </c>
      <c r="J164" s="284">
        <f ca="1">IFERROR(__xludf.DUMMYFUNCTION("IMPORTRANGE(""https://docs.google.com/spreadsheets/d/11923uPwbBZFjjGgGUA6NLw09EwE0CqkOc4q9oUmW1yo/edit?usp=sharing"",""ลำปาง!J89"")"),3)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IFERROR(__xludf.DUMMYFUNCTION("IMPORTRANGE(""https://docs.google.com/spreadsheets/d/11923uPwbBZFjjGgGUA6NLw09EwE0CqkOc4q9oUmW1yo/edit?usp=sharing"",""ลำปาง!J94"")"),0)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IFERROR(__xludf.DUMMYFUNCTION("IMPORTRANGE(""https://docs.google.com/spreadsheets/d/11923uPwbBZFjjGgGUA6NLw09EwE0CqkOc4q9oUmW1yo/edit?usp=sharing"",""ลำปาง!J95"")"),1)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IFERROR(__xludf.DUMMYFUNCTION("IMPORTRANGE(""https://docs.google.com/spreadsheets/d/11923uPwbBZFjjGgGUA6NLw09EwE0CqkOc4q9oUmW1yo/edit?usp=sharing"",""ลำปาง!J96"")"),1)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IFERROR(__xludf.DUMMYFUNCTION("IMPORTRANGE(""https://docs.google.com/spreadsheets/d/11923uPwbBZFjjGgGUA6NLw09EwE0CqkOc4q9oUmW1yo/edit?usp=sharing"",""ลำปาง!J97"")"),1)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IFERROR(__xludf.DUMMYFUNCTION("IMPORTRANGE(""https://docs.google.com/spreadsheets/d/11923uPwbBZFjjGgGUA6NLw09EwE0CqkOc4q9oUmW1yo/edit?usp=sharing"",""ลำปาง!I98"")"),3)</f>
        <v>3</v>
      </c>
      <c r="J173" s="188">
        <f ca="1">IFERROR(__xludf.DUMMYFUNCTION("IMPORTRANGE(""https://docs.google.com/spreadsheets/d/11923uPwbBZFjjGgGUA6NLw09EwE0CqkOc4q9oUmW1yo/edit?usp=sharing"",""ลำปาง!J98"")"),3)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IFERROR(__xludf.DUMMYFUNCTION("IMPORTRANGE(""https://docs.google.com/spreadsheets/d/11923uPwbBZFjjGgGUA6NLw09EwE0CqkOc4q9oUmW1yo/edit?usp=sharing"",""ลำปาง!J99"")"),0)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IFERROR(__xludf.DUMMYFUNCTION("IMPORTRANGE(""https://docs.google.com/spreadsheets/d/11923uPwbBZFjjGgGUA6NLw09EwE0CqkOc4q9oUmW1yo/edit?usp=sharing"",""ลำปาง!J100"")"),0)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IFERROR(__xludf.DUMMYFUNCTION("IMPORTRANGE(""https://docs.google.com/spreadsheets/d/11923uPwbBZFjjGgGUA6NLw09EwE0CqkOc4q9oUmW1yo/edit?usp=sharing"",""ลำปาง!I101"")"),0)</f>
        <v>0</v>
      </c>
      <c r="J176" s="284">
        <f ca="1">IFERROR(__xludf.DUMMYFUNCTION("IMPORTRANGE(""https://docs.google.com/spreadsheets/d/11923uPwbBZFjjGgGUA6NLw09EwE0CqkOc4q9oUmW1yo/edit?usp=sharing"",""ลำปาง!J101"")"),0)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IFERROR(__xludf.DUMMYFUNCTION("IMPORTRANGE(""https://docs.google.com/spreadsheets/d/11923uPwbBZFjjGgGUA6NLw09EwE0CqkOc4q9oUmW1yo/edit?usp=sharing"",""ลำปาง!J106"")"),0)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IFERROR(__xludf.DUMMYFUNCTION("IMPORTRANGE(""https://docs.google.com/spreadsheets/d/11923uPwbBZFjjGgGUA6NLw09EwE0CqkOc4q9oUmW1yo/edit?usp=sharing"",""ลำปาง!J107"")"),0)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IFERROR(__xludf.DUMMYFUNCTION("IMPORTRANGE(""https://docs.google.com/spreadsheets/d/11923uPwbBZFjjGgGUA6NLw09EwE0CqkOc4q9oUmW1yo/edit?usp=sharing"",""ลำปาง!J108"")"),0)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IFERROR(__xludf.DUMMYFUNCTION("IMPORTRANGE(""https://docs.google.com/spreadsheets/d/11923uPwbBZFjjGgGUA6NLw09EwE0CqkOc4q9oUmW1yo/edit?usp=sharing"",""ลำปาง!J109"")"),0)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IFERROR(__xludf.DUMMYFUNCTION("IMPORTRANGE(""https://docs.google.com/spreadsheets/d/11923uPwbBZFjjGgGUA6NLw09EwE0CqkOc4q9oUmW1yo/edit?usp=sharing"",""ลำปาง!I110"")"),0)</f>
        <v>0</v>
      </c>
      <c r="J185" s="203">
        <f ca="1">IFERROR(__xludf.DUMMYFUNCTION("IMPORTRANGE(""https://docs.google.com/spreadsheets/d/11923uPwbBZFjjGgGUA6NLw09EwE0CqkOc4q9oUmW1yo/edit?usp=sharing"",""ลำปาง!J110"")"),0)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IFERROR(__xludf.DUMMYFUNCTION("IMPORTRANGE(""https://docs.google.com/spreadsheets/d/11923uPwbBZFjjGgGUA6NLw09EwE0CqkOc4q9oUmW1yo/edit?usp=sharing"",""ลำปาง!I111"")"),0)</f>
        <v>0</v>
      </c>
      <c r="J186" s="203">
        <f ca="1">IFERROR(__xludf.DUMMYFUNCTION("IMPORTRANGE(""https://docs.google.com/spreadsheets/d/11923uPwbBZFjjGgGUA6NLw09EwE0CqkOc4q9oUmW1yo/edit?usp=sharing"",""ลำปาง!J111"")"),0)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IFERROR(__xludf.DUMMYFUNCTION("IMPORTRANGE(""https://docs.google.com/spreadsheets/d/11923uPwbBZFjjGgGUA6NLw09EwE0CqkOc4q9oUmW1yo/edit?usp=sharing"",""ลำปาง!J112"")"),0)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IFERROR(__xludf.DUMMYFUNCTION("IMPORTRANGE(""https://docs.google.com/spreadsheets/d/11923uPwbBZFjjGgGUA6NLw09EwE0CqkOc4q9oUmW1yo/edit?usp=sharing"",""ลำปาง!J113"")"),0)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IFERROR(__xludf.DUMMYFUNCTION("IMPORTRANGE(""https://docs.google.com/spreadsheets/d/11923uPwbBZFjjGgGUA6NLw09EwE0CqkOc4q9oUmW1yo/edit?usp=sharing"",""ลำปาง!I114"")"),50000)</f>
        <v>50000</v>
      </c>
      <c r="J189" s="284">
        <f ca="1">IFERROR(__xludf.DUMMYFUNCTION("IMPORTRANGE(""https://docs.google.com/spreadsheets/d/11923uPwbBZFjjGgGUA6NLw09EwE0CqkOc4q9oUmW1yo/edit?usp=sharing"",""ลำปาง!J114"")"),0)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IFERROR(__xludf.DUMMYFUNCTION("IMPORTRANGE(""https://docs.google.com/spreadsheets/d/11923uPwbBZFjjGgGUA6NLw09EwE0CqkOc4q9oUmW1yo/edit?usp=sharing"",""ลำปาง!J119"")"),0)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IFERROR(__xludf.DUMMYFUNCTION("IMPORTRANGE(""https://docs.google.com/spreadsheets/d/11923uPwbBZFjjGgGUA6NLw09EwE0CqkOc4q9oUmW1yo/edit?usp=sharing"",""ลำปาง!J120"")"),1)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IFERROR(__xludf.DUMMYFUNCTION("IMPORTRANGE(""https://docs.google.com/spreadsheets/d/11923uPwbBZFjjGgGUA6NLw09EwE0CqkOc4q9oUmW1yo/edit?usp=sharing"",""ลำปาง!J121"")"),0)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IFERROR(__xludf.DUMMYFUNCTION("IMPORTRANGE(""https://docs.google.com/spreadsheets/d/11923uPwbBZFjjGgGUA6NLw09EwE0CqkOc4q9oUmW1yo/edit?usp=sharing"",""ลำปาง!J122"")"),0)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IFERROR(__xludf.DUMMYFUNCTION("IMPORTRANGE(""https://docs.google.com/spreadsheets/d/11923uPwbBZFjjGgGUA6NLw09EwE0CqkOc4q9oUmW1yo/edit?usp=sharing"",""ลำปาง!I124"")"),50000)</f>
        <v>50000</v>
      </c>
      <c r="J199" s="188">
        <f ca="1">IFERROR(__xludf.DUMMYFUNCTION("IMPORTRANGE(""https://docs.google.com/spreadsheets/d/11923uPwbBZFjjGgGUA6NLw09EwE0CqkOc4q9oUmW1yo/edit?usp=sharing"",""ลำปาง!J124"")"),0)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IFERROR(__xludf.DUMMYFUNCTION("IMPORTRANGE(""https://docs.google.com/spreadsheets/d/11923uPwbBZFjjGgGUA6NLw09EwE0CqkOc4q9oUmW1yo/edit?usp=sharing"",""ลำปาง!I125"")"),50000)</f>
        <v>50000</v>
      </c>
      <c r="J200" s="188">
        <f ca="1">IFERROR(__xludf.DUMMYFUNCTION("IMPORTRANGE(""https://docs.google.com/spreadsheets/d/11923uPwbBZFjjGgGUA6NLw09EwE0CqkOc4q9oUmW1yo/edit?usp=sharing"",""ลำปาง!J125"")"),0)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IFERROR(__xludf.DUMMYFUNCTION("IMPORTRANGE(""https://docs.google.com/spreadsheets/d/11923uPwbBZFjjGgGUA6NLw09EwE0CqkOc4q9oUmW1yo/edit?usp=sharing"",""ลำปาง!I126"")"),0)</f>
        <v>0</v>
      </c>
      <c r="J201" s="188">
        <f ca="1">IFERROR(__xludf.DUMMYFUNCTION("IMPORTRANGE(""https://docs.google.com/spreadsheets/d/11923uPwbBZFjjGgGUA6NLw09EwE0CqkOc4q9oUmW1yo/edit?usp=sharing"",""ลำปาง!J126"")"),0)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IFERROR(__xludf.DUMMYFUNCTION("IMPORTRANGE(""https://docs.google.com/spreadsheets/d/11923uPwbBZFjjGgGUA6NLw09EwE0CqkOc4q9oUmW1yo/edit?usp=sharing"",""ลำปาง!J127"")"),0)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IFERROR(__xludf.DUMMYFUNCTION("IMPORTRANGE(""https://docs.google.com/spreadsheets/d/11923uPwbBZFjjGgGUA6NLw09EwE0CqkOc4q9oUmW1yo/edit?usp=sharing"",""ลำปาง!J128"")"),0)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IFERROR(__xludf.DUMMYFUNCTION("IMPORTRANGE(""https://docs.google.com/spreadsheets/d/11923uPwbBZFjjGgGUA6NLw09EwE0CqkOc4q9oUmW1yo/edit?usp=sharing"",""ลำปาง!I129"")"),0)</f>
        <v>0</v>
      </c>
      <c r="J204" s="284">
        <f ca="1">IFERROR(__xludf.DUMMYFUNCTION("IMPORTRANGE(""https://docs.google.com/spreadsheets/d/11923uPwbBZFjjGgGUA6NLw09EwE0CqkOc4q9oUmW1yo/edit?usp=sharing"",""ลำปาง!J129"")"),0)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IFERROR(__xludf.DUMMYFUNCTION("IMPORTRANGE(""https://docs.google.com/spreadsheets/d/11923uPwbBZFjjGgGUA6NLw09EwE0CqkOc4q9oUmW1yo/edit?usp=sharing"",""ลำปาง!J134"")"),0)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IFERROR(__xludf.DUMMYFUNCTION("IMPORTRANGE(""https://docs.google.com/spreadsheets/d/11923uPwbBZFjjGgGUA6NLw09EwE0CqkOc4q9oUmW1yo/edit?usp=sharing"",""ลำปาง!J135"")"),0)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IFERROR(__xludf.DUMMYFUNCTION("IMPORTRANGE(""https://docs.google.com/spreadsheets/d/11923uPwbBZFjjGgGUA6NLw09EwE0CqkOc4q9oUmW1yo/edit?usp=sharing"",""ลำปาง!J136"")"),0)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IFERROR(__xludf.DUMMYFUNCTION("IMPORTRANGE(""https://docs.google.com/spreadsheets/d/11923uPwbBZFjjGgGUA6NLw09EwE0CqkOc4q9oUmW1yo/edit?usp=sharing"",""ลำปาง!J137"")"),0)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IFERROR(__xludf.DUMMYFUNCTION("IMPORTRANGE(""https://docs.google.com/spreadsheets/d/11923uPwbBZFjjGgGUA6NLw09EwE0CqkOc4q9oUmW1yo/edit?usp=sharing"",""ลำปาง!I138"")"),0)</f>
        <v>0</v>
      </c>
      <c r="J213" s="203">
        <f ca="1">IFERROR(__xludf.DUMMYFUNCTION("IMPORTRANGE(""https://docs.google.com/spreadsheets/d/11923uPwbBZFjjGgGUA6NLw09EwE0CqkOc4q9oUmW1yo/edit?usp=sharing"",""ลำปาง!J138"")"),0)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IFERROR(__xludf.DUMMYFUNCTION("IMPORTRANGE(""https://docs.google.com/spreadsheets/d/11923uPwbBZFjjGgGUA6NLw09EwE0CqkOc4q9oUmW1yo/edit?usp=sharing"",""ลำปาง!I140"")"),0)</f>
        <v>0</v>
      </c>
      <c r="J215" s="203">
        <f ca="1">IFERROR(__xludf.DUMMYFUNCTION("IMPORTRANGE(""https://docs.google.com/spreadsheets/d/11923uPwbBZFjjGgGUA6NLw09EwE0CqkOc4q9oUmW1yo/edit?usp=sharing"",""ลำปาง!J140"")"),0)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IFERROR(__xludf.DUMMYFUNCTION("IMPORTRANGE(""https://docs.google.com/spreadsheets/d/11923uPwbBZFjjGgGUA6NLw09EwE0CqkOc4q9oUmW1yo/edit?usp=sharing"",""ลำปาง!I141"")"),0)</f>
        <v>0</v>
      </c>
      <c r="J216" s="203">
        <f ca="1">IFERROR(__xludf.DUMMYFUNCTION("IMPORTRANGE(""https://docs.google.com/spreadsheets/d/11923uPwbBZFjjGgGUA6NLw09EwE0CqkOc4q9oUmW1yo/edit?usp=sharing"",""ลำปาง!J141"")"),0)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IFERROR(__xludf.DUMMYFUNCTION("IMPORTRANGE(""https://docs.google.com/spreadsheets/d/11923uPwbBZFjjGgGUA6NLw09EwE0CqkOc4q9oUmW1yo/edit?usp=sharing"",""ลำปาง!J142"")"),0)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IFERROR(__xludf.DUMMYFUNCTION("IMPORTRANGE(""https://docs.google.com/spreadsheets/d/11923uPwbBZFjjGgGUA6NLw09EwE0CqkOc4q9oUmW1yo/edit?usp=sharing"",""ลำปาง!J143"")"),0)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IFERROR(__xludf.DUMMYFUNCTION("IMPORTRANGE(""https://docs.google.com/spreadsheets/d/11923uPwbBZFjjGgGUA6NLw09EwE0CqkOc4q9oUmW1yo/edit?usp=sharing"",""ลำปาง!I144"")"),15)</f>
        <v>15</v>
      </c>
      <c r="J219" s="267">
        <f ca="1">IFERROR(__xludf.DUMMYFUNCTION("IMPORTRANGE(""https://docs.google.com/spreadsheets/d/11923uPwbBZFjjGgGUA6NLw09EwE0CqkOc4q9oUmW1yo/edit?usp=sharing"",""ลำปาง!J144"")"),15)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IFERROR(__xludf.DUMMYFUNCTION("IMPORTRANGE(""https://docs.google.com/spreadsheets/d/1Yj_ptqi66GCucihVvJfMjLAmec39IyEx_6qawtMGysU/edit?usp=sharing"",""สบก!BS32"")"),21125)</f>
        <v>21125</v>
      </c>
      <c r="N224" s="168">
        <f ca="1">IFERROR(__xludf.DUMMYFUNCTION("IMPORTRANGE(""https://docs.google.com/spreadsheets/d/1Yj_ptqi66GCucihVvJfMjLAmec39IyEx_6qawtMGysU/edit?usp=sharing"",""สบก!BT32"")"),21125)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IFERROR(__xludf.DUMMYFUNCTION("IMPORTRANGE(""https://docs.google.com/spreadsheets/d/1Yj_ptqi66GCucihVvJfMjLAmec39IyEx_6qawtMGysU/edit?usp=sharing"",""สบก!BO32"")"),0)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IFERROR(__xludf.DUMMYFUNCTION("IMPORTRANGE(""https://docs.google.com/spreadsheets/d/1Yj_ptqi66GCucihVvJfMjLAmec39IyEx_6qawtMGysU/edit?usp=sharing"",""สบก!BP32"")"),21125)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IFERROR(__xludf.DUMMYFUNCTION("IMPORTRANGE(""https://docs.google.com/spreadsheets/d/1Yj_ptqi66GCucihVvJfMjLAmec39IyEx_6qawtMGysU/edit?usp=sharing"",""สบก!BQ32"")"),0)</f>
        <v>0</v>
      </c>
      <c r="M228" s="50"/>
      <c r="N228" s="50">
        <f ca="1">IFERROR(__xludf.DUMMYFUNCTION("IMPORTRANGE(""https://docs.google.com/spreadsheets/d/1Yj_ptqi66GCucihVvJfMjLAmec39IyEx_6qawtMGysU/edit?usp=sharing"",""สบก!BU32"")"),0)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IFERROR(__xludf.DUMMYFUNCTION("IMPORTRANGE(""https://docs.google.com/spreadsheets/d/11923uPwbBZFjjGgGUA6NLw09EwE0CqkOc4q9oUmW1yo/edit?usp=sharing"",""ลำปาง!I149"")"),15)</f>
        <v>15</v>
      </c>
      <c r="J229" s="267">
        <f ca="1">IFERROR(__xludf.DUMMYFUNCTION("IMPORTRANGE(""https://docs.google.com/spreadsheets/d/11923uPwbBZFjjGgGUA6NLw09EwE0CqkOc4q9oUmW1yo/edit?usp=sharing"",""ลำปาง!J149"")"),15)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IFERROR(__xludf.DUMMYFUNCTION("IMPORTRANGE(""https://docs.google.com/spreadsheets/d/11923uPwbBZFjjGgGUA6NLw09EwE0CqkOc4q9oUmW1yo/edit?usp=sharing"",""ลำปาง!J151"")"),0)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IFERROR(__xludf.DUMMYFUNCTION("IMPORTRANGE(""https://docs.google.com/spreadsheets/d/11923uPwbBZFjjGgGUA6NLw09EwE0CqkOc4q9oUmW1yo/edit?usp=sharing"",""ลำปาง!J152"")"),1)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IFERROR(__xludf.DUMMYFUNCTION("IMPORTRANGE(""https://docs.google.com/spreadsheets/d/11923uPwbBZFjjGgGUA6NLw09EwE0CqkOc4q9oUmW1yo/edit?usp=sharing"",""ลำปาง!J153"")"),1)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IFERROR(__xludf.DUMMYFUNCTION("IMPORTRANGE(""https://docs.google.com/spreadsheets/d/11923uPwbBZFjjGgGUA6NLw09EwE0CqkOc4q9oUmW1yo/edit?usp=sharing"",""ลำปาง!J154"")"),1)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IFERROR(__xludf.DUMMYFUNCTION("IMPORTRANGE(""https://docs.google.com/spreadsheets/d/11923uPwbBZFjjGgGUA6NLw09EwE0CqkOc4q9oUmW1yo/edit?usp=sharing"",""ลำปาง!I155"")"),15)</f>
        <v>15</v>
      </c>
      <c r="J235" s="188">
        <f ca="1">IFERROR(__xludf.DUMMYFUNCTION("IMPORTRANGE(""https://docs.google.com/spreadsheets/d/11923uPwbBZFjjGgGUA6NLw09EwE0CqkOc4q9oUmW1yo/edit?usp=sharing"",""ลำปาง!J155"")"),15)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IFERROR(__xludf.DUMMYFUNCTION("IMPORTRANGE(""https://docs.google.com/spreadsheets/d/11923uPwbBZFjjGgGUA6NLw09EwE0CqkOc4q9oUmW1yo/edit?usp=sharing"",""ลำปาง!J156"")"),1)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IFERROR(__xludf.DUMMYFUNCTION("IMPORTRANGE(""https://docs.google.com/spreadsheets/d/11923uPwbBZFjjGgGUA6NLw09EwE0CqkOc4q9oUmW1yo/edit?usp=sharing"",""ลำปาง!J157"")"),0)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IFERROR(__xludf.DUMMYFUNCTION("IMPORTRANGE(""https://docs.google.com/spreadsheets/d/11923uPwbBZFjjGgGUA6NLw09EwE0CqkOc4q9oUmW1yo/edit?usp=sharing"",""ลำปาง!I158"")"),0)</f>
        <v>0</v>
      </c>
      <c r="J238" s="267">
        <f ca="1">IFERROR(__xludf.DUMMYFUNCTION("IMPORTRANGE(""https://docs.google.com/spreadsheets/d/11923uPwbBZFjjGgGUA6NLw09EwE0CqkOc4q9oUmW1yo/edit?usp=sharing"",""ลำปาง!J158"")"),0)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IFERROR(__xludf.DUMMYFUNCTION("IMPORTRANGE(""https://docs.google.com/spreadsheets/d/11923uPwbBZFjjGgGUA6NLw09EwE0CqkOc4q9oUmW1yo/edit?usp=sharing"",""ลำปาง!J159"")"),"")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IFERROR(__xludf.DUMMYFUNCTION("IMPORTRANGE(""https://docs.google.com/spreadsheets/d/11923uPwbBZFjjGgGUA6NLw09EwE0CqkOc4q9oUmW1yo/edit?usp=sharing"",""ลำปาง!J161"")"),0)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IFERROR(__xludf.DUMMYFUNCTION("IMPORTRANGE(""https://docs.google.com/spreadsheets/d/11923uPwbBZFjjGgGUA6NLw09EwE0CqkOc4q9oUmW1yo/edit?usp=sharing"",""ลำปาง!J162"")"),0)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IFERROR(__xludf.DUMMYFUNCTION("IMPORTRANGE(""https://docs.google.com/spreadsheets/d/11923uPwbBZFjjGgGUA6NLw09EwE0CqkOc4q9oUmW1yo/edit?usp=sharing"",""ลำปาง!J163"")"),0)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IFERROR(__xludf.DUMMYFUNCTION("IMPORTRANGE(""https://docs.google.com/spreadsheets/d/11923uPwbBZFjjGgGUA6NLw09EwE0CqkOc4q9oUmW1yo/edit?usp=sharing"",""ลำปาง!I164"")"),0)</f>
        <v>0</v>
      </c>
      <c r="J244" s="187">
        <f ca="1">IFERROR(__xludf.DUMMYFUNCTION("IMPORTRANGE(""https://docs.google.com/spreadsheets/d/11923uPwbBZFjjGgGUA6NLw09EwE0CqkOc4q9oUmW1yo/edit?usp=sharing"",""ลำปาง!J164"")"),0)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IFERROR(__xludf.DUMMYFUNCTION("IMPORTRANGE(""https://docs.google.com/spreadsheets/d/11923uPwbBZFjjGgGUA6NLw09EwE0CqkOc4q9oUmW1yo/edit?usp=sharing"",""ลำปาง!J165"")"),0)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IFERROR(__xludf.DUMMYFUNCTION("IMPORTRANGE(""https://docs.google.com/spreadsheets/d/11923uPwbBZFjjGgGUA6NLw09EwE0CqkOc4q9oUmW1yo/edit?usp=sharing"",""ลำปาง!J166"")"),0)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IFERROR(__xludf.DUMMYFUNCTION("IMPORTRANGE(""https://docs.google.com/spreadsheets/d/11923uPwbBZFjjGgGUA6NLw09EwE0CqkOc4q9oUmW1yo/edit?usp=sharing"",""ลำปาง!I169"")"),0)</f>
        <v>0</v>
      </c>
      <c r="J249" s="316">
        <f ca="1">IFERROR(__xludf.DUMMYFUNCTION("IMPORTRANGE(""https://docs.google.com/spreadsheets/d/11923uPwbBZFjjGgGUA6NLw09EwE0CqkOc4q9oUmW1yo/edit?usp=sharing"",""ลำปาง!J169"")"),0)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IFERROR(__xludf.DUMMYFUNCTION("IMPORTRANGE(""https://docs.google.com/spreadsheets/d/1Yj_ptqi66GCucihVvJfMjLAmec39IyEx_6qawtMGysU/edit?usp=sharing"",""สบก!CB32"")"),0)</f>
        <v>0</v>
      </c>
      <c r="N254" s="168">
        <f ca="1">IFERROR(__xludf.DUMMYFUNCTION("IMPORTRANGE(""https://docs.google.com/spreadsheets/d/1Yj_ptqi66GCucihVvJfMjLAmec39IyEx_6qawtMGysU/edit?usp=sharing"",""สบก!CC32"")"),0)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IFERROR(__xludf.DUMMYFUNCTION("IMPORTRANGE(""https://docs.google.com/spreadsheets/d/1Yj_ptqi66GCucihVvJfMjLAmec39IyEx_6qawtMGysU/edit?usp=sharing"",""สบก!BX32"")"),0)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IFERROR(__xludf.DUMMYFUNCTION("IMPORTRANGE(""https://docs.google.com/spreadsheets/d/1Yj_ptqi66GCucihVvJfMjLAmec39IyEx_6qawtMGysU/edit?usp=sharing"",""สบก!BY32"")"),0)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IFERROR(__xludf.DUMMYFUNCTION("IMPORTRANGE(""https://docs.google.com/spreadsheets/d/1Yj_ptqi66GCucihVvJfMjLAmec39IyEx_6qawtMGysU/edit?usp=sharing"",""สบก!BZ32"")"),0)</f>
        <v>0</v>
      </c>
      <c r="M258" s="50"/>
      <c r="N258" s="50">
        <f ca="1">IFERROR(__xludf.DUMMYFUNCTION("IMPORTRANGE(""https://docs.google.com/spreadsheets/d/1Yj_ptqi66GCucihVvJfMjLAmec39IyEx_6qawtMGysU/edit?usp=sharing"",""สบก!CD32"")"),0)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IFERROR(__xludf.DUMMYFUNCTION("IMPORTRANGE(""https://docs.google.com/spreadsheets/d/11923uPwbBZFjjGgGUA6NLw09EwE0CqkOc4q9oUmW1yo/edit?usp=sharing"",""ลำปาง!J175"")"),0)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IFERROR(__xludf.DUMMYFUNCTION("IMPORTRANGE(""https://docs.google.com/spreadsheets/d/11923uPwbBZFjjGgGUA6NLw09EwE0CqkOc4q9oUmW1yo/edit?usp=sharing"",""ลำปาง!J176"")"),0)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IFERROR(__xludf.DUMMYFUNCTION("IMPORTRANGE(""https://docs.google.com/spreadsheets/d/11923uPwbBZFjjGgGUA6NLw09EwE0CqkOc4q9oUmW1yo/edit?usp=sharing"",""ลำปาง!J177"")"),0)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IFERROR(__xludf.DUMMYFUNCTION("IMPORTRANGE(""https://docs.google.com/spreadsheets/d/11923uPwbBZFjjGgGUA6NLw09EwE0CqkOc4q9oUmW1yo/edit?usp=sharing"",""ลำปาง!J178"")"),0)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IFERROR(__xludf.DUMMYFUNCTION("IMPORTRANGE(""https://docs.google.com/spreadsheets/d/11923uPwbBZFjjGgGUA6NLw09EwE0CqkOc4q9oUmW1yo/edit?usp=sharing"",""ลำปาง!I179"")"),0)</f>
        <v>0</v>
      </c>
      <c r="J264" s="188">
        <f ca="1">IFERROR(__xludf.DUMMYFUNCTION("IMPORTRANGE(""https://docs.google.com/spreadsheets/d/11923uPwbBZFjjGgGUA6NLw09EwE0CqkOc4q9oUmW1yo/edit?usp=sharing"",""ลำปาง!J179"")"),0)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IFERROR(__xludf.DUMMYFUNCTION("IMPORTRANGE(""https://docs.google.com/spreadsheets/d/11923uPwbBZFjjGgGUA6NLw09EwE0CqkOc4q9oUmW1yo/edit?usp=sharing"",""ลำปาง!I180"")"),0)</f>
        <v>0</v>
      </c>
      <c r="J265" s="188">
        <f ca="1">IFERROR(__xludf.DUMMYFUNCTION("IMPORTRANGE(""https://docs.google.com/spreadsheets/d/11923uPwbBZFjjGgGUA6NLw09EwE0CqkOc4q9oUmW1yo/edit?usp=sharing"",""ลำปาง!J180"")"),0)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IFERROR(__xludf.DUMMYFUNCTION("IMPORTRANGE(""https://docs.google.com/spreadsheets/d/11923uPwbBZFjjGgGUA6NLw09EwE0CqkOc4q9oUmW1yo/edit?usp=sharing"",""ลำปาง!I181"")"),0)</f>
        <v>0</v>
      </c>
      <c r="J266" s="188">
        <f ca="1">IFERROR(__xludf.DUMMYFUNCTION("IMPORTRANGE(""https://docs.google.com/spreadsheets/d/11923uPwbBZFjjGgGUA6NLw09EwE0CqkOc4q9oUmW1yo/edit?usp=sharing"",""ลำปาง!J181"")"),0)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IFERROR(__xludf.DUMMYFUNCTION("IMPORTRANGE(""https://docs.google.com/spreadsheets/d/11923uPwbBZFjjGgGUA6NLw09EwE0CqkOc4q9oUmW1yo/edit?usp=sharing"",""ลำปาง!I182"")"),0)</f>
        <v>0</v>
      </c>
      <c r="J267" s="188">
        <f ca="1">IFERROR(__xludf.DUMMYFUNCTION("IMPORTRANGE(""https://docs.google.com/spreadsheets/d/11923uPwbBZFjjGgGUA6NLw09EwE0CqkOc4q9oUmW1yo/edit?usp=sharing"",""ลำปาง!J182"")"),0)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IFERROR(__xludf.DUMMYFUNCTION("IMPORTRANGE(""https://docs.google.com/spreadsheets/d/11923uPwbBZFjjGgGUA6NLw09EwE0CqkOc4q9oUmW1yo/edit?usp=sharing"",""ลำปาง!J183"")"),0)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IFERROR(__xludf.DUMMYFUNCTION("IMPORTRANGE(""https://docs.google.com/spreadsheets/d/11923uPwbBZFjjGgGUA6NLw09EwE0CqkOc4q9oUmW1yo/edit?usp=sharing"",""ลำปาง!J184"")"),0)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IFERROR(__xludf.DUMMYFUNCTION("IMPORTRANGE(""https://docs.google.com/spreadsheets/d/11923uPwbBZFjjGgGUA6NLw09EwE0CqkOc4q9oUmW1yo/edit?usp=sharing"",""ลำปาง!I185"")"),15)</f>
        <v>15</v>
      </c>
      <c r="J270" s="316">
        <f ca="1">IFERROR(__xludf.DUMMYFUNCTION("IMPORTRANGE(""https://docs.google.com/spreadsheets/d/11923uPwbBZFjjGgGUA6NLw09EwE0CqkOc4q9oUmW1yo/edit?usp=sharing"",""ลำปาง!J185"")"),15)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154200</v>
      </c>
      <c r="N271" s="152">
        <f t="shared" ca="1" si="83"/>
        <v>112983.67</v>
      </c>
      <c r="O271" s="151">
        <f t="shared" ref="O271:O273" ca="1" si="84">IF(L271&gt;0,N271*100/L271,0)</f>
        <v>60.354524572649574</v>
      </c>
      <c r="P271" s="151">
        <f t="shared" ref="P271:P273" ca="1" si="85">IF(M271&gt;0,N271*100/M271,0)</f>
        <v>73.270862516212716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154200</v>
      </c>
      <c r="N273" s="88">
        <f t="shared" ca="1" si="87"/>
        <v>112983.67</v>
      </c>
      <c r="O273" s="156">
        <f t="shared" ca="1" si="84"/>
        <v>60.354524572649574</v>
      </c>
      <c r="P273" s="156">
        <f t="shared" ca="1" si="85"/>
        <v>73.270862516212716</v>
      </c>
    </row>
    <row r="274" spans="1:16" ht="21.75" customHeight="1" x14ac:dyDescent="0.45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IFERROR(__xludf.DUMMYFUNCTION("IMPORTRANGE(""https://docs.google.com/spreadsheets/d/1Yj_ptqi66GCucihVvJfMjLAmec39IyEx_6qawtMGysU/edit?usp=sharing"",""สบก!CK32"")"),154200)</f>
        <v>154200</v>
      </c>
      <c r="N275" s="168">
        <f ca="1">IFERROR(__xludf.DUMMYFUNCTION("IMPORTRANGE(""https://docs.google.com/spreadsheets/d/1Yj_ptqi66GCucihVvJfMjLAmec39IyEx_6qawtMGysU/edit?usp=sharing"",""สบก!CL32"")"),112983.67)</f>
        <v>112983.67</v>
      </c>
      <c r="O275" s="168">
        <f ca="1">IF(L275&gt;0,N275*100/L275,0)</f>
        <v>60.354524572649574</v>
      </c>
      <c r="P275" s="168">
        <f ca="1">IF(M275&gt;0,N275*100/M275,0)</f>
        <v>73.270862516212716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IFERROR(__xludf.DUMMYFUNCTION("IMPORTRANGE(""https://docs.google.com/spreadsheets/d/1Yj_ptqi66GCucihVvJfMjLAmec39IyEx_6qawtMGysU/edit?usp=sharing"",""สบก!CG32"")"),132000)</f>
        <v>132000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IFERROR(__xludf.DUMMYFUNCTION("IMPORTRANGE(""https://docs.google.com/spreadsheets/d/1Yj_ptqi66GCucihVvJfMjLAmec39IyEx_6qawtMGysU/edit?usp=sharing"",""สบก!CH32"")"),55200)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IFERROR(__xludf.DUMMYFUNCTION("IMPORTRANGE(""https://docs.google.com/spreadsheets/d/1Yj_ptqi66GCucihVvJfMjLAmec39IyEx_6qawtMGysU/edit?usp=sharing"",""สบก!CI32"")"),0)</f>
        <v>0</v>
      </c>
      <c r="M279" s="50"/>
      <c r="N279" s="50">
        <f ca="1">IFERROR(__xludf.DUMMYFUNCTION("IMPORTRANGE(""https://docs.google.com/spreadsheets/d/1Yj_ptqi66GCucihVvJfMjLAmec39IyEx_6qawtMGysU/edit?usp=sharing"",""สบก!CM32"")"),0)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IFERROR(__xludf.DUMMYFUNCTION("IMPORTRANGE(""https://docs.google.com/spreadsheets/d/11923uPwbBZFjjGgGUA6NLw09EwE0CqkOc4q9oUmW1yo/edit?usp=sharing"",""ลำปาง!J191"")"),0)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IFERROR(__xludf.DUMMYFUNCTION("IMPORTRANGE(""https://docs.google.com/spreadsheets/d/11923uPwbBZFjjGgGUA6NLw09EwE0CqkOc4q9oUmW1yo/edit?usp=sharing"",""ลำปาง!J192"")"),1)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IFERROR(__xludf.DUMMYFUNCTION("IMPORTRANGE(""https://docs.google.com/spreadsheets/d/11923uPwbBZFjjGgGUA6NLw09EwE0CqkOc4q9oUmW1yo/edit?usp=sharing"",""ลำปาง!J193"")"),1)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IFERROR(__xludf.DUMMYFUNCTION("IMPORTRANGE(""https://docs.google.com/spreadsheets/d/11923uPwbBZFjjGgGUA6NLw09EwE0CqkOc4q9oUmW1yo/edit?usp=sharing"",""ลำปาง!J194"")"),1)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IFERROR(__xludf.DUMMYFUNCTION("IMPORTRANGE(""https://docs.google.com/spreadsheets/d/11923uPwbBZFjjGgGUA6NLw09EwE0CqkOc4q9oUmW1yo/edit?usp=sharing"",""ลำปาง!I195"")"),15)</f>
        <v>15</v>
      </c>
      <c r="J285" s="188">
        <f ca="1">IFERROR(__xludf.DUMMYFUNCTION("IMPORTRANGE(""https://docs.google.com/spreadsheets/d/11923uPwbBZFjjGgGUA6NLw09EwE0CqkOc4q9oUmW1yo/edit?usp=sharing"",""ลำปาง!J195"")"),15)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IFERROR(__xludf.DUMMYFUNCTION("IMPORTRANGE(""https://docs.google.com/spreadsheets/d/11923uPwbBZFjjGgGUA6NLw09EwE0CqkOc4q9oUmW1yo/edit?usp=sharing"",""ลำปาง!J196"")"),0)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IFERROR(__xludf.DUMMYFUNCTION("IMPORTRANGE(""https://docs.google.com/spreadsheets/d/11923uPwbBZFjjGgGUA6NLw09EwE0CqkOc4q9oUmW1yo/edit?usp=sharing"",""ลำปาง!J197"")"),0)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IFERROR(__xludf.DUMMYFUNCTION("IMPORTRANGE(""https://docs.google.com/spreadsheets/d/11923uPwbBZFjjGgGUA6NLw09EwE0CqkOc4q9oUmW1yo/edit?usp=sharing"",""ลำปาง!I199"")"),0)</f>
        <v>0</v>
      </c>
      <c r="J289" s="316">
        <f ca="1">IFERROR(__xludf.DUMMYFUNCTION("IMPORTRANGE(""https://docs.google.com/spreadsheets/d/11923uPwbBZFjjGgGUA6NLw09EwE0CqkOc4q9oUmW1yo/edit?usp=sharing"",""ลำปาง!J199"")"),0)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IFERROR(__xludf.DUMMYFUNCTION("IMPORTRANGE(""https://docs.google.com/spreadsheets/d/1Yj_ptqi66GCucihVvJfMjLAmec39IyEx_6qawtMGysU/edit?usp=sharing"",""สบก!CT32"")"),0)</f>
        <v>0</v>
      </c>
      <c r="N294" s="168">
        <f ca="1">IFERROR(__xludf.DUMMYFUNCTION("IMPORTRANGE(""https://docs.google.com/spreadsheets/d/1Yj_ptqi66GCucihVvJfMjLAmec39IyEx_6qawtMGysU/edit?usp=sharing"",""สบก!CU32"")"),0)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IFERROR(__xludf.DUMMYFUNCTION("IMPORTRANGE(""https://docs.google.com/spreadsheets/d/1Yj_ptqi66GCucihVvJfMjLAmec39IyEx_6qawtMGysU/edit?usp=sharing"",""สบก!CP32"")"),0)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IFERROR(__xludf.DUMMYFUNCTION("IMPORTRANGE(""https://docs.google.com/spreadsheets/d/1Yj_ptqi66GCucihVvJfMjLAmec39IyEx_6qawtMGysU/edit?usp=sharing"",""สบก!CQ32"")"),0)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IFERROR(__xludf.DUMMYFUNCTION("IMPORTRANGE(""https://docs.google.com/spreadsheets/d/1Yj_ptqi66GCucihVvJfMjLAmec39IyEx_6qawtMGysU/edit?usp=sharing"",""สบก!CR32"")"),0)</f>
        <v>0</v>
      </c>
      <c r="M298" s="50"/>
      <c r="N298" s="50">
        <f ca="1">IFERROR(__xludf.DUMMYFUNCTION("IMPORTRANGE(""https://docs.google.com/spreadsheets/d/1Yj_ptqi66GCucihVvJfMjLAmec39IyEx_6qawtMGysU/edit?usp=sharing"",""สบก!CV32"")"),0)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IFERROR(__xludf.DUMMYFUNCTION("IMPORTRANGE(""https://docs.google.com/spreadsheets/d/11923uPwbBZFjjGgGUA6NLw09EwE0CqkOc4q9oUmW1yo/edit?usp=sharing"",""ลำปาง!J205"")"),0)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IFERROR(__xludf.DUMMYFUNCTION("IMPORTRANGE(""https://docs.google.com/spreadsheets/d/11923uPwbBZFjjGgGUA6NLw09EwE0CqkOc4q9oUmW1yo/edit?usp=sharing"",""ลำปาง!J206"")"),0)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IFERROR(__xludf.DUMMYFUNCTION("IMPORTRANGE(""https://docs.google.com/spreadsheets/d/11923uPwbBZFjjGgGUA6NLw09EwE0CqkOc4q9oUmW1yo/edit?usp=sharing"",""ลำปาง!J207"")"),0)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IFERROR(__xludf.DUMMYFUNCTION("IMPORTRANGE(""https://docs.google.com/spreadsheets/d/11923uPwbBZFjjGgGUA6NLw09EwE0CqkOc4q9oUmW1yo/edit?usp=sharing"",""ลำปาง!J208"")"),0)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IFERROR(__xludf.DUMMYFUNCTION("IMPORTRANGE(""https://docs.google.com/spreadsheets/d/11923uPwbBZFjjGgGUA6NLw09EwE0CqkOc4q9oUmW1yo/edit?usp=sharing"",""ลำปาง!I209"")"),0)</f>
        <v>0</v>
      </c>
      <c r="J304" s="203">
        <f ca="1">IFERROR(__xludf.DUMMYFUNCTION("IMPORTRANGE(""https://docs.google.com/spreadsheets/d/11923uPwbBZFjjGgGUA6NLw09EwE0CqkOc4q9oUmW1yo/edit?usp=sharing"",""ลำปาง!J209"")"),0)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IFERROR(__xludf.DUMMYFUNCTION("IMPORTRANGE(""https://docs.google.com/spreadsheets/d/11923uPwbBZFjjGgGUA6NLw09EwE0CqkOc4q9oUmW1yo/edit?usp=sharing"",""ลำปาง!I211"")"),0)</f>
        <v>0</v>
      </c>
      <c r="J306" s="203">
        <f ca="1">IFERROR(__xludf.DUMMYFUNCTION("IMPORTRANGE(""https://docs.google.com/spreadsheets/d/11923uPwbBZFjjGgGUA6NLw09EwE0CqkOc4q9oUmW1yo/edit?usp=sharing"",""ลำปาง!J211"")"),0)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IFERROR(__xludf.DUMMYFUNCTION("IMPORTRANGE(""https://docs.google.com/spreadsheets/d/11923uPwbBZFjjGgGUA6NLw09EwE0CqkOc4q9oUmW1yo/edit?usp=sharing"",""ลำปาง!J212"")"),0)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IFERROR(__xludf.DUMMYFUNCTION("IMPORTRANGE(""https://docs.google.com/spreadsheets/d/11923uPwbBZFjjGgGUA6NLw09EwE0CqkOc4q9oUmW1yo/edit?usp=sharing"",""ลำปาง!J213"")"),0)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IFERROR(__xludf.DUMMYFUNCTION("IMPORTRANGE(""https://docs.google.com/spreadsheets/d/11923uPwbBZFjjGgGUA6NLw09EwE0CqkOc4q9oUmW1yo/edit?usp=sharing"",""ลำปาง!I214"")"),0)</f>
        <v>0</v>
      </c>
      <c r="J309" s="333">
        <f ca="1">IFERROR(__xludf.DUMMYFUNCTION("IMPORTRANGE(""https://docs.google.com/spreadsheets/d/11923uPwbBZFjjGgGUA6NLw09EwE0CqkOc4q9oUmW1yo/edit?usp=sharing"",""ลำปาง!J214"")"),0)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IFERROR(__xludf.DUMMYFUNCTION("IMPORTRANGE(""https://docs.google.com/spreadsheets/d/1Yj_ptqi66GCucihVvJfMjLAmec39IyEx_6qawtMGysU/edit?usp=sharing"",""สบก!DC32"")"),0)</f>
        <v>0</v>
      </c>
      <c r="N314" s="168">
        <f ca="1">IFERROR(__xludf.DUMMYFUNCTION("IMPORTRANGE(""https://docs.google.com/spreadsheets/d/1Yj_ptqi66GCucihVvJfMjLAmec39IyEx_6qawtMGysU/edit?usp=sharing"",""สบก!DD32"")"),0)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IFERROR(__xludf.DUMMYFUNCTION("IMPORTRANGE(""https://docs.google.com/spreadsheets/d/1Yj_ptqi66GCucihVvJfMjLAmec39IyEx_6qawtMGysU/edit?usp=sharing"",""สบก!CY32"")"),0)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IFERROR(__xludf.DUMMYFUNCTION("IMPORTRANGE(""https://docs.google.com/spreadsheets/d/1Yj_ptqi66GCucihVvJfMjLAmec39IyEx_6qawtMGysU/edit?usp=sharing"",""สบก!CZ32"")"),0)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IFERROR(__xludf.DUMMYFUNCTION("IMPORTRANGE(""https://docs.google.com/spreadsheets/d/1Yj_ptqi66GCucihVvJfMjLAmec39IyEx_6qawtMGysU/edit?usp=sharing"",""สบก!DA32"")"),0)</f>
        <v>0</v>
      </c>
      <c r="M318" s="50"/>
      <c r="N318" s="50">
        <f ca="1">IFERROR(__xludf.DUMMYFUNCTION("IMPORTRANGE(""https://docs.google.com/spreadsheets/d/1Yj_ptqi66GCucihVvJfMjLAmec39IyEx_6qawtMGysU/edit?usp=sharing"",""สบก!DE32"")"),0)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IFERROR(__xludf.DUMMYFUNCTION("IMPORTRANGE(""https://docs.google.com/spreadsheets/d/11923uPwbBZFjjGgGUA6NLw09EwE0CqkOc4q9oUmW1yo/edit?usp=sharing"",""ลำปาง!J220"")"),0)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IFERROR(__xludf.DUMMYFUNCTION("IMPORTRANGE(""https://docs.google.com/spreadsheets/d/11923uPwbBZFjjGgGUA6NLw09EwE0CqkOc4q9oUmW1yo/edit?usp=sharing"",""ลำปาง!J221"")"),0)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IFERROR(__xludf.DUMMYFUNCTION("IMPORTRANGE(""https://docs.google.com/spreadsheets/d/11923uPwbBZFjjGgGUA6NLw09EwE0CqkOc4q9oUmW1yo/edit?usp=sharing"",""ลำปาง!J222"")"),0)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IFERROR(__xludf.DUMMYFUNCTION("IMPORTRANGE(""https://docs.google.com/spreadsheets/d/11923uPwbBZFjjGgGUA6NLw09EwE0CqkOc4q9oUmW1yo/edit?usp=sharing"",""ลำปาง!J223"")"),0)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IFERROR(__xludf.DUMMYFUNCTION("IMPORTRANGE(""https://docs.google.com/spreadsheets/d/11923uPwbBZFjjGgGUA6NLw09EwE0CqkOc4q9oUmW1yo/edit?usp=sharing"",""ลำปาง!I224"")"),0)</f>
        <v>0</v>
      </c>
      <c r="J324" s="203">
        <f ca="1">IFERROR(__xludf.DUMMYFUNCTION("IMPORTRANGE(""https://docs.google.com/spreadsheets/d/11923uPwbBZFjjGgGUA6NLw09EwE0CqkOc4q9oUmW1yo/edit?usp=sharing"",""ลำปาง!J224"")"),0)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IFERROR(__xludf.DUMMYFUNCTION("IMPORTRANGE(""https://docs.google.com/spreadsheets/d/11923uPwbBZFjjGgGUA6NLw09EwE0CqkOc4q9oUmW1yo/edit?usp=sharing"",""ลำปาง!J225"")"),0)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IFERROR(__xludf.DUMMYFUNCTION("IMPORTRANGE(""https://docs.google.com/spreadsheets/d/11923uPwbBZFjjGgGUA6NLw09EwE0CqkOc4q9oUmW1yo/edit?usp=sharing"",""ลำปาง!J226"")"),0)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IFERROR(__xludf.DUMMYFUNCTION("IMPORTRANGE(""https://docs.google.com/spreadsheets/d/11923uPwbBZFjjGgGUA6NLw09EwE0CqkOc4q9oUmW1yo/edit?usp=sharing"",""ลำปาง!I228"")"),400)</f>
        <v>400</v>
      </c>
      <c r="J328" s="339">
        <f ca="1">IFERROR(__xludf.DUMMYFUNCTION("IMPORTRANGE(""https://docs.google.com/spreadsheets/d/11923uPwbBZFjjGgGUA6NLw09EwE0CqkOc4q9oUmW1yo/edit?usp=sharing"",""ลำปาง!J228"")"),211)</f>
        <v>211</v>
      </c>
      <c r="K328" s="317">
        <f ca="1">IF(I328&gt;0,J328*100/I328,0)</f>
        <v>52.75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1017600</v>
      </c>
      <c r="M329" s="152">
        <f t="shared" ca="1" si="98"/>
        <v>835530</v>
      </c>
      <c r="N329" s="152">
        <f t="shared" ca="1" si="98"/>
        <v>729428.39</v>
      </c>
      <c r="O329" s="151">
        <f t="shared" ref="O329:O331" ca="1" si="99">IF(L329&gt;0,N329*100/L329,0)</f>
        <v>71.681249017295599</v>
      </c>
      <c r="P329" s="151">
        <f t="shared" ref="P329:P331" ca="1" si="100">IF(M329&gt;0,N329*100/M329,0)</f>
        <v>87.301280624274412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1017600</v>
      </c>
      <c r="M331" s="88">
        <f t="shared" ca="1" si="102"/>
        <v>835530</v>
      </c>
      <c r="N331" s="88">
        <f t="shared" ca="1" si="102"/>
        <v>729428.39</v>
      </c>
      <c r="O331" s="156">
        <f t="shared" ca="1" si="99"/>
        <v>71.681249017295599</v>
      </c>
      <c r="P331" s="156">
        <f t="shared" ca="1" si="100"/>
        <v>87.301280624274412</v>
      </c>
    </row>
    <row r="332" spans="1:16" ht="21.75" customHeight="1" x14ac:dyDescent="0.45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897600</v>
      </c>
      <c r="M333" s="167">
        <f ca="1">IFERROR(__xludf.DUMMYFUNCTION("IMPORTRANGE(""https://docs.google.com/spreadsheets/d/1Yj_ptqi66GCucihVvJfMjLAmec39IyEx_6qawtMGysU/edit?usp=sharing"",""สบก!DL32"")"),715530)</f>
        <v>715530</v>
      </c>
      <c r="N333" s="168">
        <f ca="1">IFERROR(__xludf.DUMMYFUNCTION("IMPORTRANGE(""https://docs.google.com/spreadsheets/d/1Yj_ptqi66GCucihVvJfMjLAmec39IyEx_6qawtMGysU/edit?usp=sharing"",""สบก!DM32"")"),609428.39)</f>
        <v>609428.39</v>
      </c>
      <c r="O333" s="168">
        <f ca="1">IF(L333&gt;0,N333*100/L333,0)</f>
        <v>67.895319741532973</v>
      </c>
      <c r="P333" s="168">
        <f ca="1">IF(M333&gt;0,N333*100/M333,0)</f>
        <v>85.171605662935164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IFERROR(__xludf.DUMMYFUNCTION("IMPORTRANGE(""https://docs.google.com/spreadsheets/d/1Yj_ptqi66GCucihVvJfMjLAmec39IyEx_6qawtMGysU/edit?usp=sharing"",""สบก!DH32"")"),491200)</f>
        <v>491200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IFERROR(__xludf.DUMMYFUNCTION("IMPORTRANGE(""https://docs.google.com/spreadsheets/d/1Yj_ptqi66GCucihVvJfMjLAmec39IyEx_6qawtMGysU/edit?usp=sharing"",""สบก!DI32"")"),406400)</f>
        <v>406400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IFERROR(__xludf.DUMMYFUNCTION("IMPORTRANGE(""https://docs.google.com/spreadsheets/d/1Yj_ptqi66GCucihVvJfMjLAmec39IyEx_6qawtMGysU/edit?usp=sharing"",""สบก!DJ32"")"),120000)</f>
        <v>120000</v>
      </c>
      <c r="M337" s="50">
        <f ca="1">L337</f>
        <v>120000</v>
      </c>
      <c r="N337" s="50">
        <f ca="1">IFERROR(__xludf.DUMMYFUNCTION("IMPORTRANGE(""https://docs.google.com/spreadsheets/d/1Yj_ptqi66GCucihVvJfMjLAmec39IyEx_6qawtMGysU/edit?usp=sharing"",""สบก!DN32"")"),120000)</f>
        <v>120000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IFERROR(__xludf.DUMMYFUNCTION("IMPORTRANGE(""https://docs.google.com/spreadsheets/d/11923uPwbBZFjjGgGUA6NLw09EwE0CqkOc4q9oUmW1yo/edit?usp=sharing"",""ลำปาง!I234"")"),0)</f>
        <v>0</v>
      </c>
      <c r="J339" s="187">
        <f ca="1">IFERROR(__xludf.DUMMYFUNCTION("IMPORTRANGE(""https://docs.google.com/spreadsheets/d/11923uPwbBZFjjGgGUA6NLw09EwE0CqkOc4q9oUmW1yo/edit?usp=sharing"",""ลำปาง!J234"")"),269)</f>
        <v>269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IFERROR(__xludf.DUMMYFUNCTION("IMPORTRANGE(""https://docs.google.com/spreadsheets/d/11923uPwbBZFjjGgGUA6NLw09EwE0CqkOc4q9oUmW1yo/edit?usp=sharing"",""ลำปาง!I235"")"),1700)</f>
        <v>1700</v>
      </c>
      <c r="J340" s="187">
        <f ca="1">IFERROR(__xludf.DUMMYFUNCTION("IMPORTRANGE(""https://docs.google.com/spreadsheets/d/11923uPwbBZFjjGgGUA6NLw09EwE0CqkOc4q9oUmW1yo/edit?usp=sharing"",""ลำปาง!J235"")"),1463.83)</f>
        <v>1463.83</v>
      </c>
      <c r="K340" s="342">
        <f t="shared" ca="1" si="103"/>
        <v>86.107647058823531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IFERROR(__xludf.DUMMYFUNCTION("IMPORTRANGE(""https://docs.google.com/spreadsheets/d/11923uPwbBZFjjGgGUA6NLw09EwE0CqkOc4q9oUmW1yo/edit?usp=sharing"",""ลำปาง!I236"")"),400)</f>
        <v>400</v>
      </c>
      <c r="J341" s="187">
        <f ca="1">IFERROR(__xludf.DUMMYFUNCTION("IMPORTRANGE(""https://docs.google.com/spreadsheets/d/11923uPwbBZFjjGgGUA6NLw09EwE0CqkOc4q9oUmW1yo/edit?usp=sharing"",""ลำปาง!J236"")"),357)</f>
        <v>357</v>
      </c>
      <c r="K341" s="342">
        <f t="shared" ca="1" si="103"/>
        <v>89.25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IFERROR(__xludf.DUMMYFUNCTION("IMPORTRANGE(""https://docs.google.com/spreadsheets/d/11923uPwbBZFjjGgGUA6NLw09EwE0CqkOc4q9oUmW1yo/edit?usp=sharing"",""ลำปาง!I237"")"),0)</f>
        <v>0</v>
      </c>
      <c r="J342" s="187">
        <f ca="1">IFERROR(__xludf.DUMMYFUNCTION("IMPORTRANGE(""https://docs.google.com/spreadsheets/d/11923uPwbBZFjjGgGUA6NLw09EwE0CqkOc4q9oUmW1yo/edit?usp=sharing"",""ลำปาง!J237"")"),2181.62)</f>
        <v>2181.62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IFERROR(__xludf.DUMMYFUNCTION("IMPORTRANGE(""https://docs.google.com/spreadsheets/d/11923uPwbBZFjjGgGUA6NLw09EwE0CqkOc4q9oUmW1yo/edit?usp=sharing"",""ลำปาง!I238"")"),400)</f>
        <v>400</v>
      </c>
      <c r="J343" s="187">
        <f ca="1">IFERROR(__xludf.DUMMYFUNCTION("IMPORTRANGE(""https://docs.google.com/spreadsheets/d/11923uPwbBZFjjGgGUA6NLw09EwE0CqkOc4q9oUmW1yo/edit?usp=sharing"",""ลำปาง!J238"")"),0)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IFERROR(__xludf.DUMMYFUNCTION("IMPORTRANGE(""https://docs.google.com/spreadsheets/d/11923uPwbBZFjjGgGUA6NLw09EwE0CqkOc4q9oUmW1yo/edit?usp=sharing"",""ลำปาง!I239"")"),0)</f>
        <v>0</v>
      </c>
      <c r="J344" s="187">
        <f ca="1">IFERROR(__xludf.DUMMYFUNCTION("IMPORTRANGE(""https://docs.google.com/spreadsheets/d/11923uPwbBZFjjGgGUA6NLw09EwE0CqkOc4q9oUmW1yo/edit?usp=sharing"",""ลำปาง!J239"")"),0)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IFERROR(__xludf.DUMMYFUNCTION("IMPORTRANGE(""https://docs.google.com/spreadsheets/d/11923uPwbBZFjjGgGUA6NLw09EwE0CqkOc4q9oUmW1yo/edit?usp=sharing"",""ลำปาง!I240"")"),400)</f>
        <v>400</v>
      </c>
      <c r="J345" s="187">
        <f ca="1">IFERROR(__xludf.DUMMYFUNCTION("IMPORTRANGE(""https://docs.google.com/spreadsheets/d/11923uPwbBZFjjGgGUA6NLw09EwE0CqkOc4q9oUmW1yo/edit?usp=sharing"",""ลำปาง!J240"")"),211)</f>
        <v>211</v>
      </c>
      <c r="K345" s="342">
        <f t="shared" ca="1" si="103"/>
        <v>52.75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IFERROR(__xludf.DUMMYFUNCTION("IMPORTRANGE(""https://docs.google.com/spreadsheets/d/11923uPwbBZFjjGgGUA6NLw09EwE0CqkOc4q9oUmW1yo/edit?usp=sharing"",""ลำปาง!I241"")"),0)</f>
        <v>0</v>
      </c>
      <c r="J346" s="187">
        <f ca="1">IFERROR(__xludf.DUMMYFUNCTION("IMPORTRANGE(""https://docs.google.com/spreadsheets/d/11923uPwbBZFjjGgGUA6NLw09EwE0CqkOc4q9oUmW1yo/edit?usp=sharing"",""ลำปาง!J241"")"),1208.08)</f>
        <v>1208.08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IFERROR(__xludf.DUMMYFUNCTION("IMPORTRANGE(""https://docs.google.com/spreadsheets/d/11923uPwbBZFjjGgGUA6NLw09EwE0CqkOc4q9oUmW1yo/edit?usp=sharing"",""ลำปาง!L242"")"),2633435)</f>
        <v>2633435</v>
      </c>
      <c r="M347" s="357"/>
      <c r="N347" s="357">
        <f ca="1">IFERROR(__xludf.DUMMYFUNCTION("IMPORTRANGE(""https://docs.google.com/spreadsheets/d/11923uPwbBZFjjGgGUA6NLw09EwE0CqkOc4q9oUmW1yo/edit?usp=sharing"",""ลำปาง!M242"")"),940670.59)</f>
        <v>940670.59</v>
      </c>
      <c r="O347" s="357">
        <f ca="1">+IF(L347&gt;0,N347*100/L347,0)</f>
        <v>35.720288900238664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IFERROR(__xludf.DUMMYFUNCTION("IMPORTRANGE(""https://docs.google.com/spreadsheets/d/11923uPwbBZFjjGgGUA6NLw09EwE0CqkOc4q9oUmW1yo/edit?usp=sharing"",""ลำปาง!I244"")"),50)</f>
        <v>50</v>
      </c>
      <c r="J349" s="370">
        <f ca="1">IFERROR(__xludf.DUMMYFUNCTION("IMPORTRANGE(""https://docs.google.com/spreadsheets/d/11923uPwbBZFjjGgGUA6NLw09EwE0CqkOc4q9oUmW1yo/edit?usp=sharing"",""ลำปาง!J244"")"),50)</f>
        <v>50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IFERROR(__xludf.DUMMYFUNCTION("IMPORTRANGE(""https://docs.google.com/spreadsheets/d/11923uPwbBZFjjGgGUA6NLw09EwE0CqkOc4q9oUmW1yo/edit?usp=sharing"",""ลำปาง!L244"")"),230720)</f>
        <v>230720</v>
      </c>
      <c r="M349" s="372"/>
      <c r="N349" s="372">
        <f ca="1">IFERROR(__xludf.DUMMYFUNCTION("IMPORTRANGE(""https://docs.google.com/spreadsheets/d/11923uPwbBZFjjGgGUA6NLw09EwE0CqkOc4q9oUmW1yo/edit?usp=sharing"",""ลำปาง!M244"")"),132276.72)</f>
        <v>132276.72</v>
      </c>
      <c r="O349" s="372">
        <f ca="1">+IF(L349&gt;0,N349*100/L349,0)</f>
        <v>57.332142857142856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IFERROR(__xludf.DUMMYFUNCTION("IMPORTRANGE(""https://docs.google.com/spreadsheets/d/11923uPwbBZFjjGgGUA6NLw09EwE0CqkOc4q9oUmW1yo/edit?usp=sharing"",""ลำปาง!I245"")"),10)</f>
        <v>10</v>
      </c>
      <c r="J350" s="370">
        <f ca="1">IFERROR(__xludf.DUMMYFUNCTION("IMPORTRANGE(""https://docs.google.com/spreadsheets/d/11923uPwbBZFjjGgGUA6NLw09EwE0CqkOc4q9oUmW1yo/edit?usp=sharing"",""ลำปาง!J245"")"),10)</f>
        <v>10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IFERROR(__xludf.DUMMYFUNCTION("IMPORTRANGE(""https://docs.google.com/spreadsheets/d/11923uPwbBZFjjGgGUA6NLw09EwE0CqkOc4q9oUmW1yo/edit?usp=sharing"",""ลำปาง!L246"")"),0)</f>
        <v>0</v>
      </c>
      <c r="M351" s="164"/>
      <c r="N351" s="164">
        <f ca="1">IFERROR(__xludf.DUMMYFUNCTION("IMPORTRANGE(""https://docs.google.com/spreadsheets/d/11923uPwbBZFjjGgGUA6NLw09EwE0CqkOc4q9oUmW1yo/edit?usp=sharing"",""ลำปาง!M246"")"),0)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IFERROR(__xludf.DUMMYFUNCTION("IMPORTRANGE(""https://docs.google.com/spreadsheets/d/11923uPwbBZFjjGgGUA6NLw09EwE0CqkOc4q9oUmW1yo/edit?usp=sharing"",""ลำปาง!L247"")"),230720)</f>
        <v>230720</v>
      </c>
      <c r="M352" s="165"/>
      <c r="N352" s="164">
        <f ca="1">IFERROR(__xludf.DUMMYFUNCTION("IMPORTRANGE(""https://docs.google.com/spreadsheets/d/11923uPwbBZFjjGgGUA6NLw09EwE0CqkOc4q9oUmW1yo/edit?usp=sharing"",""ลำปาง!M247"")"),132276.72)</f>
        <v>132276.72</v>
      </c>
      <c r="O352" s="165">
        <f t="shared" ca="1" si="105"/>
        <v>57.332142857142856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IFERROR(__xludf.DUMMYFUNCTION("IMPORTRANGE(""https://docs.google.com/spreadsheets/d/11923uPwbBZFjjGgGUA6NLw09EwE0CqkOc4q9oUmW1yo/edit?usp=sharing"",""ลำปาง!L248"")"),0)</f>
        <v>0</v>
      </c>
      <c r="M353" s="168"/>
      <c r="N353" s="168">
        <f ca="1">IFERROR(__xludf.DUMMYFUNCTION("IMPORTRANGE(""https://docs.google.com/spreadsheets/d/11923uPwbBZFjjGgGUA6NLw09EwE0CqkOc4q9oUmW1yo/edit?usp=sharing"",""ลำปาง!M248"")"),0)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IFERROR(__xludf.DUMMYFUNCTION("IMPORTRANGE(""https://docs.google.com/spreadsheets/d/11923uPwbBZFjjGgGUA6NLw09EwE0CqkOc4q9oUmW1yo/edit?usp=sharing"",""ลำปาง!L249"")"),230720)</f>
        <v>230720</v>
      </c>
      <c r="M354" s="168"/>
      <c r="N354" s="167">
        <f ca="1">IFERROR(__xludf.DUMMYFUNCTION("IMPORTRANGE(""https://docs.google.com/spreadsheets/d/11923uPwbBZFjjGgGUA6NLw09EwE0CqkOc4q9oUmW1yo/edit?usp=sharing"",""ลำปาง!M249"")"),132276.72)</f>
        <v>132276.72</v>
      </c>
      <c r="O354" s="168">
        <f t="shared" ca="1" si="105"/>
        <v>57.332142857142856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IFERROR(__xludf.DUMMYFUNCTION("IMPORTRANGE(""https://docs.google.com/spreadsheets/d/11923uPwbBZFjjGgGUA6NLw09EwE0CqkOc4q9oUmW1yo/edit?usp=sharing"",""ลำปาง!M250"")"),16200)</f>
        <v>16200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IFERROR(__xludf.DUMMYFUNCTION("IMPORTRANGE(""https://docs.google.com/spreadsheets/d/11923uPwbBZFjjGgGUA6NLw09EwE0CqkOc4q9oUmW1yo/edit?usp=sharing"",""ลำปาง!M251"")"),40000)</f>
        <v>40000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IFERROR(__xludf.DUMMYFUNCTION("IMPORTRANGE(""https://docs.google.com/spreadsheets/d/11923uPwbBZFjjGgGUA6NLw09EwE0CqkOc4q9oUmW1yo/edit?usp=sharing"",""ลำปาง!M252"")"),63066.72)</f>
        <v>63066.720000000001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IFERROR(__xludf.DUMMYFUNCTION("IMPORTRANGE(""https://docs.google.com/spreadsheets/d/11923uPwbBZFjjGgGUA6NLw09EwE0CqkOc4q9oUmW1yo/edit?usp=sharing"",""ลำปาง!M253"")"),13010)</f>
        <v>13010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IFERROR(__xludf.DUMMYFUNCTION("IMPORTRANGE(""https://docs.google.com/spreadsheets/d/11923uPwbBZFjjGgGUA6NLw09EwE0CqkOc4q9oUmW1yo/edit?usp=sharing"",""ลำปาง!J255"")"),0)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IFERROR(__xludf.DUMMYFUNCTION("IMPORTRANGE(""https://docs.google.com/spreadsheets/d/11923uPwbBZFjjGgGUA6NLw09EwE0CqkOc4q9oUmW1yo/edit?usp=sharing"",""ลำปาง!J256"")"),1)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IFERROR(__xludf.DUMMYFUNCTION("IMPORTRANGE(""https://docs.google.com/spreadsheets/d/11923uPwbBZFjjGgGUA6NLw09EwE0CqkOc4q9oUmW1yo/edit?usp=sharing"",""ลำปาง!J257"")"),1)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IFERROR(__xludf.DUMMYFUNCTION("IMPORTRANGE(""https://docs.google.com/spreadsheets/d/11923uPwbBZFjjGgGUA6NLw09EwE0CqkOc4q9oUmW1yo/edit?usp=sharing"",""ลำปาง!J258"")"),1)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IFERROR(__xludf.DUMMYFUNCTION("IMPORTRANGE(""https://docs.google.com/spreadsheets/d/11923uPwbBZFjjGgGUA6NLw09EwE0CqkOc4q9oUmW1yo/edit?usp=sharing"",""ลำปาง!J166"")"),0)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IFERROR(__xludf.DUMMYFUNCTION("IMPORTRANGE(""https://docs.google.com/spreadsheets/d/11923uPwbBZFjjGgGUA6NLw09EwE0CqkOc4q9oUmW1yo/edit?usp=sharing"",""ลำปาง!J166"")"),0)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IFERROR(__xludf.DUMMYFUNCTION("IMPORTRANGE(""https://docs.google.com/spreadsheets/d/11923uPwbBZFjjGgGUA6NLw09EwE0CqkOc4q9oUmW1yo/edit?usp=sharing"",""ลำปาง!J166"")"),0)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IFERROR(__xludf.DUMMYFUNCTION("IMPORTRANGE(""https://docs.google.com/spreadsheets/d/11923uPwbBZFjjGgGUA6NLw09EwE0CqkOc4q9oUmW1yo/edit?usp=sharing"",""ลำปาง!J166"")"),0)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IFERROR(__xludf.DUMMYFUNCTION("IMPORTRANGE(""https://docs.google.com/spreadsheets/d/11923uPwbBZFjjGgGUA6NLw09EwE0CqkOc4q9oUmW1yo/edit?usp=sharing"",""ลำปาง!I263"")"),10)</f>
        <v>10</v>
      </c>
      <c r="J368" s="187">
        <f ca="1">IFERROR(__xludf.DUMMYFUNCTION("IMPORTRANGE(""https://docs.google.com/spreadsheets/d/11923uPwbBZFjjGgGUA6NLw09EwE0CqkOc4q9oUmW1yo/edit?usp=sharing"",""ลำปาง!J263"")"),10)</f>
        <v>10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IFERROR(__xludf.DUMMYFUNCTION("IMPORTRANGE(""https://docs.google.com/spreadsheets/d/11923uPwbBZFjjGgGUA6NLw09EwE0CqkOc4q9oUmW1yo/edit?usp=sharing"",""ลำปาง!I164"")"),0)</f>
        <v>0</v>
      </c>
      <c r="J369" s="203">
        <f ca="1">IFERROR(__xludf.DUMMYFUNCTION("IMPORTRANGE(""https://docs.google.com/spreadsheets/d/11923uPwbBZFjjGgGUA6NLw09EwE0CqkOc4q9oUmW1yo/edit?usp=sharing"",""ลำปาง!J164"")"),0)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IFERROR(__xludf.DUMMYFUNCTION("IMPORTRANGE(""https://docs.google.com/spreadsheets/d/11923uPwbBZFjjGgGUA6NLw09EwE0CqkOc4q9oUmW1yo/edit?usp=sharing"",""ลำปาง!I265"")"),10)</f>
        <v>10</v>
      </c>
      <c r="J370" s="203">
        <f ca="1">IFERROR(__xludf.DUMMYFUNCTION("IMPORTRANGE(""https://docs.google.com/spreadsheets/d/11923uPwbBZFjjGgGUA6NLw09EwE0CqkOc4q9oUmW1yo/edit?usp=sharing"",""ลำปาง!J265"")"),0)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IFERROR(__xludf.DUMMYFUNCTION("IMPORTRANGE(""https://docs.google.com/spreadsheets/d/11923uPwbBZFjjGgGUA6NLw09EwE0CqkOc4q9oUmW1yo/edit?usp=sharing"",""ลำปาง!I164"")"),0)</f>
        <v>0</v>
      </c>
      <c r="J371" s="188">
        <f ca="1">IFERROR(__xludf.DUMMYFUNCTION("IMPORTRANGE(""https://docs.google.com/spreadsheets/d/11923uPwbBZFjjGgGUA6NLw09EwE0CqkOc4q9oUmW1yo/edit?usp=sharing"",""ลำปาง!J164"")"),0)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IFERROR(__xludf.DUMMYFUNCTION("IMPORTRANGE(""https://docs.google.com/spreadsheets/d/11923uPwbBZFjjGgGUA6NLw09EwE0CqkOc4q9oUmW1yo/edit?usp=sharing"",""ลำปาง!I267"")"),10)</f>
        <v>10</v>
      </c>
      <c r="J372" s="188">
        <f ca="1">IFERROR(__xludf.DUMMYFUNCTION("IMPORTRANGE(""https://docs.google.com/spreadsheets/d/11923uPwbBZFjjGgGUA6NLw09EwE0CqkOc4q9oUmW1yo/edit?usp=sharing"",""ลำปาง!J267"")"),10)</f>
        <v>10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IFERROR(__xludf.DUMMYFUNCTION("IMPORTRANGE(""https://docs.google.com/spreadsheets/d/11923uPwbBZFjjGgGUA6NLw09EwE0CqkOc4q9oUmW1yo/edit?usp=sharing"",""ลำปาง!I164"")"),0)</f>
        <v>0</v>
      </c>
      <c r="J373" s="203">
        <f ca="1">IFERROR(__xludf.DUMMYFUNCTION("IMPORTRANGE(""https://docs.google.com/spreadsheets/d/11923uPwbBZFjjGgGUA6NLw09EwE0CqkOc4q9oUmW1yo/edit?usp=sharing"",""ลำปาง!J164"")"),0)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IFERROR(__xludf.DUMMYFUNCTION("IMPORTRANGE(""https://docs.google.com/spreadsheets/d/11923uPwbBZFjjGgGUA6NLw09EwE0CqkOc4q9oUmW1yo/edit?usp=sharing"",""ลำปาง!I164"")"),0)</f>
        <v>0</v>
      </c>
      <c r="J374" s="187">
        <f ca="1">IFERROR(__xludf.DUMMYFUNCTION("IMPORTRANGE(""https://docs.google.com/spreadsheets/d/11923uPwbBZFjjGgGUA6NLw09EwE0CqkOc4q9oUmW1yo/edit?usp=sharing"",""ลำปาง!J164"")"),0)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IFERROR(__xludf.DUMMYFUNCTION("IMPORTRANGE(""https://docs.google.com/spreadsheets/d/11923uPwbBZFjjGgGUA6NLw09EwE0CqkOc4q9oUmW1yo/edit?usp=sharing"",""ลำปาง!I270"")"),50)</f>
        <v>50</v>
      </c>
      <c r="J375" s="187">
        <f ca="1">IFERROR(__xludf.DUMMYFUNCTION("IMPORTRANGE(""https://docs.google.com/spreadsheets/d/11923uPwbBZFjjGgGUA6NLw09EwE0CqkOc4q9oUmW1yo/edit?usp=sharing"",""ลำปาง!J270"")"),50)</f>
        <v>50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IFERROR(__xludf.DUMMYFUNCTION("IMPORTRANGE(""https://docs.google.com/spreadsheets/d/11923uPwbBZFjjGgGUA6NLw09EwE0CqkOc4q9oUmW1yo/edit?usp=sharing"",""ลำปาง!I271"")"),0)</f>
        <v>0</v>
      </c>
      <c r="J376" s="188">
        <f ca="1">IFERROR(__xludf.DUMMYFUNCTION("IMPORTRANGE(""https://docs.google.com/spreadsheets/d/11923uPwbBZFjjGgGUA6NLw09EwE0CqkOc4q9oUmW1yo/edit?usp=sharing"",""ลำปาง!J271"")"),0)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IFERROR(__xludf.DUMMYFUNCTION("IMPORTRANGE(""https://docs.google.com/spreadsheets/d/11923uPwbBZFjjGgGUA6NLw09EwE0CqkOc4q9oUmW1yo/edit?usp=sharing"",""ลำปาง!I272"")"),50)</f>
        <v>50</v>
      </c>
      <c r="J377" s="203">
        <f ca="1">IFERROR(__xludf.DUMMYFUNCTION("IMPORTRANGE(""https://docs.google.com/spreadsheets/d/11923uPwbBZFjjGgGUA6NLw09EwE0CqkOc4q9oUmW1yo/edit?usp=sharing"",""ลำปาง!J272"")"),50)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IFERROR(__xludf.DUMMYFUNCTION("IMPORTRANGE(""https://docs.google.com/spreadsheets/d/11923uPwbBZFjjGgGUA6NLw09EwE0CqkOc4q9oUmW1yo/edit?usp=sharing"",""ลำปาง!J273"")"),0)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IFERROR(__xludf.DUMMYFUNCTION("IMPORTRANGE(""https://docs.google.com/spreadsheets/d/11923uPwbBZFjjGgGUA6NLw09EwE0CqkOc4q9oUmW1yo/edit?usp=sharing"",""ลำปาง!J274"")"),0)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IFERROR(__xludf.DUMMYFUNCTION("IMPORTRANGE(""https://docs.google.com/spreadsheets/d/11923uPwbBZFjjGgGUA6NLw09EwE0CqkOc4q9oUmW1yo/edit?usp=sharing"",""ลำปาง!I275"")"),1000)</f>
        <v>1000</v>
      </c>
      <c r="J380" s="370">
        <f ca="1">IFERROR(__xludf.DUMMYFUNCTION("IMPORTRANGE(""https://docs.google.com/spreadsheets/d/11923uPwbBZFjjGgGUA6NLw09EwE0CqkOc4q9oUmW1yo/edit?usp=sharing"",""ลำปาง!J275"")"),0)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IFERROR(__xludf.DUMMYFUNCTION("IMPORTRANGE(""https://docs.google.com/spreadsheets/d/11923uPwbBZFjjGgGUA6NLw09EwE0CqkOc4q9oUmW1yo/edit?usp=sharing"",""ลำปาง!L275"")"),1028520)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IFERROR(__xludf.DUMMYFUNCTION("IMPORTRANGE(""https://docs.google.com/spreadsheets/d/11923uPwbBZFjjGgGUA6NLw09EwE0CqkOc4q9oUmW1yo/edit?usp=sharing"",""ลำปาง!M275"")"),302948.38)</f>
        <v>302948.38</v>
      </c>
      <c r="O380" s="372">
        <f ca="1">+IF(L380&gt;0,N380*100/L380,0)</f>
        <v>29.454787461595302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IFERROR(__xludf.DUMMYFUNCTION("IMPORTRANGE(""https://docs.google.com/spreadsheets/d/11923uPwbBZFjjGgGUA6NLw09EwE0CqkOc4q9oUmW1yo/edit?usp=sharing"",""ลำปาง!I276"")"),100)</f>
        <v>100</v>
      </c>
      <c r="J381" s="370">
        <f ca="1">IFERROR(__xludf.DUMMYFUNCTION("IMPORTRANGE(""https://docs.google.com/spreadsheets/d/11923uPwbBZFjjGgGUA6NLw09EwE0CqkOc4q9oUmW1yo/edit?usp=sharing"",""ลำปาง!J276"")"),100)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IFERROR(__xludf.DUMMYFUNCTION("IMPORTRANGE(""https://docs.google.com/spreadsheets/d/11923uPwbBZFjjGgGUA6NLw09EwE0CqkOc4q9oUmW1yo/edit?usp=sharing"",""ลำปาง!L277"")"),0)</f>
        <v>0</v>
      </c>
      <c r="M382" s="164"/>
      <c r="N382" s="164">
        <f ca="1">IFERROR(__xludf.DUMMYFUNCTION("IMPORTRANGE(""https://docs.google.com/spreadsheets/d/11923uPwbBZFjjGgGUA6NLw09EwE0CqkOc4q9oUmW1yo/edit?usp=sharing"",""ลำปาง!M277"")"),0)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IFERROR(__xludf.DUMMYFUNCTION("IMPORTRANGE(""https://docs.google.com/spreadsheets/d/11923uPwbBZFjjGgGUA6NLw09EwE0CqkOc4q9oUmW1yo/edit?usp=sharing"",""ลำปาง!L278"")"),1028520)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IFERROR(__xludf.DUMMYFUNCTION("IMPORTRANGE(""https://docs.google.com/spreadsheets/d/11923uPwbBZFjjGgGUA6NLw09EwE0CqkOc4q9oUmW1yo/edit?usp=sharing"",""ลำปาง!M278"")"),302948.38)</f>
        <v>302948.38</v>
      </c>
      <c r="O383" s="165">
        <f t="shared" ca="1" si="109"/>
        <v>29.454787461595302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IFERROR(__xludf.DUMMYFUNCTION("IMPORTRANGE(""https://docs.google.com/spreadsheets/d/11923uPwbBZFjjGgGUA6NLw09EwE0CqkOc4q9oUmW1yo/edit?usp=sharing"",""ลำปาง!L279"")"),0)</f>
        <v>0</v>
      </c>
      <c r="M384" s="168"/>
      <c r="N384" s="168">
        <f ca="1">IFERROR(__xludf.DUMMYFUNCTION("IMPORTRANGE(""https://docs.google.com/spreadsheets/d/11923uPwbBZFjjGgGUA6NLw09EwE0CqkOc4q9oUmW1yo/edit?usp=sharing"",""ลำปาง!M279"")"),0)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IFERROR(__xludf.DUMMYFUNCTION("IMPORTRANGE(""https://docs.google.com/spreadsheets/d/11923uPwbBZFjjGgGUA6NLw09EwE0CqkOc4q9oUmW1yo/edit?usp=sharing"",""ลำปาง!L280"")"),1028520)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IFERROR(__xludf.DUMMYFUNCTION("IMPORTRANGE(""https://docs.google.com/spreadsheets/d/11923uPwbBZFjjGgGUA6NLw09EwE0CqkOc4q9oUmW1yo/edit?usp=sharing"",""ลำปาง!M280"")"),302948.38)</f>
        <v>302948.38</v>
      </c>
      <c r="O385" s="168">
        <f t="shared" ca="1" si="109"/>
        <v>29.454787461595302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IFERROR(__xludf.DUMMYFUNCTION("IMPORTRANGE(""https://docs.google.com/spreadsheets/d/11923uPwbBZFjjGgGUA6NLw09EwE0CqkOc4q9oUmW1yo/edit?usp=sharing"",""ลำปาง!M281"")"),198000)</f>
        <v>198000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IFERROR(__xludf.DUMMYFUNCTION("IMPORTRANGE(""https://docs.google.com/spreadsheets/d/11923uPwbBZFjjGgGUA6NLw09EwE0CqkOc4q9oUmW1yo/edit?usp=sharing"",""ลำปาง!M282"")"),0)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IFERROR(__xludf.DUMMYFUNCTION("IMPORTRANGE(""https://docs.google.com/spreadsheets/d/11923uPwbBZFjjGgGUA6NLw09EwE0CqkOc4q9oUmW1yo/edit?usp=sharing"",""ลำปาง!M283"")"),63433.38)</f>
        <v>63433.38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IFERROR(__xludf.DUMMYFUNCTION("IMPORTRANGE(""https://docs.google.com/spreadsheets/d/11923uPwbBZFjjGgGUA6NLw09EwE0CqkOc4q9oUmW1yo/edit?usp=sharing"",""ลำปาง!M284"")"),41515)</f>
        <v>41515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IFERROR(__xludf.DUMMYFUNCTION("IMPORTRANGE(""https://docs.google.com/spreadsheets/d/11923uPwbBZFjjGgGUA6NLw09EwE0CqkOc4q9oUmW1yo/edit?usp=sharing"",""ลำปาง!J286"")"),0)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IFERROR(__xludf.DUMMYFUNCTION("IMPORTRANGE(""https://docs.google.com/spreadsheets/d/11923uPwbBZFjjGgGUA6NLw09EwE0CqkOc4q9oUmW1yo/edit?usp=sharing"",""ลำปาง!J287"")"),1)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IFERROR(__xludf.DUMMYFUNCTION("IMPORTRANGE(""https://docs.google.com/spreadsheets/d/11923uPwbBZFjjGgGUA6NLw09EwE0CqkOc4q9oUmW1yo/edit?usp=sharing"",""ลำปาง!J288"")"),1)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IFERROR(__xludf.DUMMYFUNCTION("IMPORTRANGE(""https://docs.google.com/spreadsheets/d/11923uPwbBZFjjGgGUA6NLw09EwE0CqkOc4q9oUmW1yo/edit?usp=sharing"",""ลำปาง!J289"")"),1)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IFERROR(__xludf.DUMMYFUNCTION("IMPORTRANGE(""https://docs.google.com/spreadsheets/d/11923uPwbBZFjjGgGUA6NLw09EwE0CqkOc4q9oUmW1yo/edit?usp=sharing"",""ลำปาง!I291"")"),100)</f>
        <v>100</v>
      </c>
      <c r="J396" s="197">
        <f ca="1">IFERROR(__xludf.DUMMYFUNCTION("IMPORTRANGE(""https://docs.google.com/spreadsheets/d/11923uPwbBZFjjGgGUA6NLw09EwE0CqkOc4q9oUmW1yo/edit?usp=sharing"",""ลำปาง!J291"")"),100)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IFERROR(__xludf.DUMMYFUNCTION("IMPORTRANGE(""https://docs.google.com/spreadsheets/d/11923uPwbBZFjjGgGUA6NLw09EwE0CqkOc4q9oUmW1yo/edit?usp=sharing"",""ลำปาง!I292"")"),1000)</f>
        <v>1000</v>
      </c>
      <c r="J397" s="197">
        <f ca="1">IFERROR(__xludf.DUMMYFUNCTION("IMPORTRANGE(""https://docs.google.com/spreadsheets/d/11923uPwbBZFjjGgGUA6NLw09EwE0CqkOc4q9oUmW1yo/edit?usp=sharing"",""ลำปาง!J292"")"),0)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IFERROR(__xludf.DUMMYFUNCTION("IMPORTRANGE(""https://docs.google.com/spreadsheets/d/11923uPwbBZFjjGgGUA6NLw09EwE0CqkOc4q9oUmW1yo/edit?usp=sharing"",""ลำปาง!I293"")"),100)</f>
        <v>100</v>
      </c>
      <c r="J398" s="197">
        <f ca="1">IFERROR(__xludf.DUMMYFUNCTION("IMPORTRANGE(""https://docs.google.com/spreadsheets/d/11923uPwbBZFjjGgGUA6NLw09EwE0CqkOc4q9oUmW1yo/edit?usp=sharing"",""ลำปาง!J293"")"),0)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IFERROR(__xludf.DUMMYFUNCTION("IMPORTRANGE(""https://docs.google.com/spreadsheets/d/11923uPwbBZFjjGgGUA6NLw09EwE0CqkOc4q9oUmW1yo/edit?usp=sharing"",""ลำปาง!J294"")"),0)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IFERROR(__xludf.DUMMYFUNCTION("IMPORTRANGE(""https://docs.google.com/spreadsheets/d/11923uPwbBZFjjGgGUA6NLw09EwE0CqkOc4q9oUmW1yo/edit?usp=sharing"",""ลำปาง!J295"")"),0)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IFERROR(__xludf.DUMMYFUNCTION("IMPORTRANGE(""https://docs.google.com/spreadsheets/d/11923uPwbBZFjjGgGUA6NLw09EwE0CqkOc4q9oUmW1yo/edit?usp=sharing"",""ลำปาง!I296"")"),120)</f>
        <v>120</v>
      </c>
      <c r="J401" s="370">
        <f ca="1">IFERROR(__xludf.DUMMYFUNCTION("IMPORTRANGE(""https://docs.google.com/spreadsheets/d/11923uPwbBZFjjGgGUA6NLw09EwE0CqkOc4q9oUmW1yo/edit?usp=sharing"",""ลำปาง!J296"")"),120)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IFERROR(__xludf.DUMMYFUNCTION("IMPORTRANGE(""https://docs.google.com/spreadsheets/d/11923uPwbBZFjjGgGUA6NLw09EwE0CqkOc4q9oUmW1yo/edit?usp=sharing"",""ลำปาง!L296"")"),144560)</f>
        <v>144560</v>
      </c>
      <c r="M401" s="372"/>
      <c r="N401" s="372">
        <f ca="1">IFERROR(__xludf.DUMMYFUNCTION("IMPORTRANGE(""https://docs.google.com/spreadsheets/d/11923uPwbBZFjjGgGUA6NLw09EwE0CqkOc4q9oUmW1yo/edit?usp=sharing"",""ลำปาง!M296"")"),51155)</f>
        <v>51155</v>
      </c>
      <c r="O401" s="372">
        <f ca="1">+IF(L401&gt;0,N401*100/L401,0)</f>
        <v>35.386690647482013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IFERROR(__xludf.DUMMYFUNCTION("IMPORTRANGE(""https://docs.google.com/spreadsheets/d/11923uPwbBZFjjGgGUA6NLw09EwE0CqkOc4q9oUmW1yo/edit?usp=sharing"",""ลำปาง!I297"")"),40)</f>
        <v>40</v>
      </c>
      <c r="J402" s="370">
        <f ca="1">IFERROR(__xludf.DUMMYFUNCTION("IMPORTRANGE(""https://docs.google.com/spreadsheets/d/11923uPwbBZFjjGgGUA6NLw09EwE0CqkOc4q9oUmW1yo/edit?usp=sharing"",""ลำปาง!J297"")"),40)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IFERROR(__xludf.DUMMYFUNCTION("IMPORTRANGE(""https://docs.google.com/spreadsheets/d/11923uPwbBZFjjGgGUA6NLw09EwE0CqkOc4q9oUmW1yo/edit?usp=sharing"",""ลำปาง!L298"")"),0)</f>
        <v>0</v>
      </c>
      <c r="M403" s="164"/>
      <c r="N403" s="168">
        <f ca="1">IFERROR(__xludf.DUMMYFUNCTION("IMPORTRANGE(""https://docs.google.com/spreadsheets/d/11923uPwbBZFjjGgGUA6NLw09EwE0CqkOc4q9oUmW1yo/edit?usp=sharing"",""ลำปาง!M298"")"),0)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IFERROR(__xludf.DUMMYFUNCTION("IMPORTRANGE(""https://docs.google.com/spreadsheets/d/11923uPwbBZFjjGgGUA6NLw09EwE0CqkOc4q9oUmW1yo/edit?usp=sharing"",""ลำปาง!L299"")"),144560)</f>
        <v>144560</v>
      </c>
      <c r="M404" s="165"/>
      <c r="N404" s="168">
        <f ca="1">IFERROR(__xludf.DUMMYFUNCTION("IMPORTRANGE(""https://docs.google.com/spreadsheets/d/11923uPwbBZFjjGgGUA6NLw09EwE0CqkOc4q9oUmW1yo/edit?usp=sharing"",""ลำปาง!M299"")"),51155)</f>
        <v>51155</v>
      </c>
      <c r="O404" s="168">
        <f t="shared" ca="1" si="112"/>
        <v>35.386690647482013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IFERROR(__xludf.DUMMYFUNCTION("IMPORTRANGE(""https://docs.google.com/spreadsheets/d/11923uPwbBZFjjGgGUA6NLw09EwE0CqkOc4q9oUmW1yo/edit?usp=sharing"",""ลำปาง!L300"")"),0)</f>
        <v>0</v>
      </c>
      <c r="M405" s="168"/>
      <c r="N405" s="168">
        <f ca="1">IFERROR(__xludf.DUMMYFUNCTION("IMPORTRANGE(""https://docs.google.com/spreadsheets/d/11923uPwbBZFjjGgGUA6NLw09EwE0CqkOc4q9oUmW1yo/edit?usp=sharing"",""ลำปาง!M300"")"),0)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IFERROR(__xludf.DUMMYFUNCTION("IMPORTRANGE(""https://docs.google.com/spreadsheets/d/11923uPwbBZFjjGgGUA6NLw09EwE0CqkOc4q9oUmW1yo/edit?usp=sharing"",""ลำปาง!L301"")"),144560)</f>
        <v>144560</v>
      </c>
      <c r="M406" s="168"/>
      <c r="N406" s="168">
        <f ca="1">IFERROR(__xludf.DUMMYFUNCTION("IMPORTRANGE(""https://docs.google.com/spreadsheets/d/11923uPwbBZFjjGgGUA6NLw09EwE0CqkOc4q9oUmW1yo/edit?usp=sharing"",""ลำปาง!M301"")"),51155)</f>
        <v>51155</v>
      </c>
      <c r="O406" s="168">
        <f t="shared" ca="1" si="112"/>
        <v>35.386690647482013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IFERROR(__xludf.DUMMYFUNCTION("IMPORTRANGE(""https://docs.google.com/spreadsheets/d/11923uPwbBZFjjGgGUA6NLw09EwE0CqkOc4q9oUmW1yo/edit?usp=sharing"",""ลำปาง!M302"")"),41155)</f>
        <v>41155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IFERROR(__xludf.DUMMYFUNCTION("IMPORTRANGE(""https://docs.google.com/spreadsheets/d/11923uPwbBZFjjGgGUA6NLw09EwE0CqkOc4q9oUmW1yo/edit?usp=sharing"",""ลำปาง!M303"")"),0)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IFERROR(__xludf.DUMMYFUNCTION("IMPORTRANGE(""https://docs.google.com/spreadsheets/d/11923uPwbBZFjjGgGUA6NLw09EwE0CqkOc4q9oUmW1yo/edit?usp=sharing"",""ลำปาง!M304"")"),0)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IFERROR(__xludf.DUMMYFUNCTION("IMPORTRANGE(""https://docs.google.com/spreadsheets/d/11923uPwbBZFjjGgGUA6NLw09EwE0CqkOc4q9oUmW1yo/edit?usp=sharing"",""ลำปาง!M305"")"),10000)</f>
        <v>10000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IFERROR(__xludf.DUMMYFUNCTION("IMPORTRANGE(""https://docs.google.com/spreadsheets/d/11923uPwbBZFjjGgGUA6NLw09EwE0CqkOc4q9oUmW1yo/edit?usp=sharing"",""ลำปาง!J307"")"),0)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IFERROR(__xludf.DUMMYFUNCTION("IMPORTRANGE(""https://docs.google.com/spreadsheets/d/11923uPwbBZFjjGgGUA6NLw09EwE0CqkOc4q9oUmW1yo/edit?usp=sharing"",""ลำปาง!J308"")"),1)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IFERROR(__xludf.DUMMYFUNCTION("IMPORTRANGE(""https://docs.google.com/spreadsheets/d/11923uPwbBZFjjGgGUA6NLw09EwE0CqkOc4q9oUmW1yo/edit?usp=sharing"",""ลำปาง!J309"")"),1)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IFERROR(__xludf.DUMMYFUNCTION("IMPORTRANGE(""https://docs.google.com/spreadsheets/d/11923uPwbBZFjjGgGUA6NLw09EwE0CqkOc4q9oUmW1yo/edit?usp=sharing"",""ลำปาง!J310"")"),1)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IFERROR(__xludf.DUMMYFUNCTION("IMPORTRANGE(""https://docs.google.com/spreadsheets/d/11923uPwbBZFjjGgGUA6NLw09EwE0CqkOc4q9oUmW1yo/edit?usp=sharing"",""ลำปาง!I311"")"),40)</f>
        <v>40</v>
      </c>
      <c r="J416" s="200">
        <f ca="1">IFERROR(__xludf.DUMMYFUNCTION("IMPORTRANGE(""https://docs.google.com/spreadsheets/d/11923uPwbBZFjjGgGUA6NLw09EwE0CqkOc4q9oUmW1yo/edit?usp=sharing"",""ลำปาง!J311"")"),40)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IFERROR(__xludf.DUMMYFUNCTION("IMPORTRANGE(""https://docs.google.com/spreadsheets/d/11923uPwbBZFjjGgGUA6NLw09EwE0CqkOc4q9oUmW1yo/edit?usp=sharing"",""ลำปาง!I312"")"),10)</f>
        <v>10</v>
      </c>
      <c r="J417" s="391">
        <f ca="1">IFERROR(__xludf.DUMMYFUNCTION("IMPORTRANGE(""https://docs.google.com/spreadsheets/d/11923uPwbBZFjjGgGUA6NLw09EwE0CqkOc4q9oUmW1yo/edit?usp=sharing"",""ลำปาง!J312"")"),10)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IFERROR(__xludf.DUMMYFUNCTION("IMPORTRANGE(""https://docs.google.com/spreadsheets/d/11923uPwbBZFjjGgGUA6NLw09EwE0CqkOc4q9oUmW1yo/edit?usp=sharing"",""ลำปาง!I313"")"),30)</f>
        <v>30</v>
      </c>
      <c r="J418" s="392">
        <f ca="1">IFERROR(__xludf.DUMMYFUNCTION("IMPORTRANGE(""https://docs.google.com/spreadsheets/d/11923uPwbBZFjjGgGUA6NLw09EwE0CqkOc4q9oUmW1yo/edit?usp=sharing"",""ลำปาง!J313"")"),30)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IFERROR(__xludf.DUMMYFUNCTION("IMPORTRANGE(""https://docs.google.com/spreadsheets/d/11923uPwbBZFjjGgGUA6NLw09EwE0CqkOc4q9oUmW1yo/edit?usp=sharing"",""ลำปาง!I314"")"),10)</f>
        <v>10</v>
      </c>
      <c r="J419" s="393">
        <f ca="1">IFERROR(__xludf.DUMMYFUNCTION("IMPORTRANGE(""https://docs.google.com/spreadsheets/d/11923uPwbBZFjjGgGUA6NLw09EwE0CqkOc4q9oUmW1yo/edit?usp=sharing"",""ลำปาง!J314"")"),10)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IFERROR(__xludf.DUMMYFUNCTION("IMPORTRANGE(""https://docs.google.com/spreadsheets/d/11923uPwbBZFjjGgGUA6NLw09EwE0CqkOc4q9oUmW1yo/edit?usp=sharing"",""ลำปาง!I315"")"),10)</f>
        <v>10</v>
      </c>
      <c r="J420" s="393">
        <f ca="1">IFERROR(__xludf.DUMMYFUNCTION("IMPORTRANGE(""https://docs.google.com/spreadsheets/d/11923uPwbBZFjjGgGUA6NLw09EwE0CqkOc4q9oUmW1yo/edit?usp=sharing"",""ลำปาง!J315"")"),10)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IFERROR(__xludf.DUMMYFUNCTION("IMPORTRANGE(""https://docs.google.com/spreadsheets/d/11923uPwbBZFjjGgGUA6NLw09EwE0CqkOc4q9oUmW1yo/edit?usp=sharing"",""ลำปาง!I316"")"),20)</f>
        <v>20</v>
      </c>
      <c r="J421" s="391">
        <f ca="1">IFERROR(__xludf.DUMMYFUNCTION("IMPORTRANGE(""https://docs.google.com/spreadsheets/d/11923uPwbBZFjjGgGUA6NLw09EwE0CqkOc4q9oUmW1yo/edit?usp=sharing"",""ลำปาง!J316"")"),20)</f>
        <v>20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IFERROR(__xludf.DUMMYFUNCTION("IMPORTRANGE(""https://docs.google.com/spreadsheets/d/11923uPwbBZFjjGgGUA6NLw09EwE0CqkOc4q9oUmW1yo/edit?usp=sharing"",""ลำปาง!I317"")"),60)</f>
        <v>60</v>
      </c>
      <c r="J422" s="392">
        <f ca="1">IFERROR(__xludf.DUMMYFUNCTION("IMPORTRANGE(""https://docs.google.com/spreadsheets/d/11923uPwbBZFjjGgGUA6NLw09EwE0CqkOc4q9oUmW1yo/edit?usp=sharing"",""ลำปาง!J317"")"),60)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IFERROR(__xludf.DUMMYFUNCTION("IMPORTRANGE(""https://docs.google.com/spreadsheets/d/11923uPwbBZFjjGgGUA6NLw09EwE0CqkOc4q9oUmW1yo/edit?usp=sharing"",""ลำปาง!I318"")"),20)</f>
        <v>20</v>
      </c>
      <c r="J423" s="393">
        <f ca="1">IFERROR(__xludf.DUMMYFUNCTION("IMPORTRANGE(""https://docs.google.com/spreadsheets/d/11923uPwbBZFjjGgGUA6NLw09EwE0CqkOc4q9oUmW1yo/edit?usp=sharing"",""ลำปาง!J318"")"),20)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IFERROR(__xludf.DUMMYFUNCTION("IMPORTRANGE(""https://docs.google.com/spreadsheets/d/11923uPwbBZFjjGgGUA6NLw09EwE0CqkOc4q9oUmW1yo/edit?usp=sharing"",""ลำปาง!I319"")"),20)</f>
        <v>20</v>
      </c>
      <c r="J424" s="393">
        <f ca="1">IFERROR(__xludf.DUMMYFUNCTION("IMPORTRANGE(""https://docs.google.com/spreadsheets/d/11923uPwbBZFjjGgGUA6NLw09EwE0CqkOc4q9oUmW1yo/edit?usp=sharing"",""ลำปาง!J319"")"),20)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IFERROR(__xludf.DUMMYFUNCTION("IMPORTRANGE(""https://docs.google.com/spreadsheets/d/11923uPwbBZFjjGgGUA6NLw09EwE0CqkOc4q9oUmW1yo/edit?usp=sharing"",""ลำปาง!I320"")"),20)</f>
        <v>20</v>
      </c>
      <c r="J425" s="393">
        <f ca="1">IFERROR(__xludf.DUMMYFUNCTION("IMPORTRANGE(""https://docs.google.com/spreadsheets/d/11923uPwbBZFjjGgGUA6NLw09EwE0CqkOc4q9oUmW1yo/edit?usp=sharing"",""ลำปาง!J320"")"),20)</f>
        <v>20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IFERROR(__xludf.DUMMYFUNCTION("IMPORTRANGE(""https://docs.google.com/spreadsheets/d/11923uPwbBZFjjGgGUA6NLw09EwE0CqkOc4q9oUmW1yo/edit?usp=sharing"",""ลำปาง!I321"")"),10)</f>
        <v>10</v>
      </c>
      <c r="J426" s="391">
        <f ca="1">IFERROR(__xludf.DUMMYFUNCTION("IMPORTRANGE(""https://docs.google.com/spreadsheets/d/11923uPwbBZFjjGgGUA6NLw09EwE0CqkOc4q9oUmW1yo/edit?usp=sharing"",""ลำปาง!J321"")"),10)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IFERROR(__xludf.DUMMYFUNCTION("IMPORTRANGE(""https://docs.google.com/spreadsheets/d/11923uPwbBZFjjGgGUA6NLw09EwE0CqkOc4q9oUmW1yo/edit?usp=sharing"",""ลำปาง!I322"")"),30)</f>
        <v>30</v>
      </c>
      <c r="J427" s="392">
        <f ca="1">IFERROR(__xludf.DUMMYFUNCTION("IMPORTRANGE(""https://docs.google.com/spreadsheets/d/11923uPwbBZFjjGgGUA6NLw09EwE0CqkOc4q9oUmW1yo/edit?usp=sharing"",""ลำปาง!J322"")"),30)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IFERROR(__xludf.DUMMYFUNCTION("IMPORTRANGE(""https://docs.google.com/spreadsheets/d/11923uPwbBZFjjGgGUA6NLw09EwE0CqkOc4q9oUmW1yo/edit?usp=sharing"",""ลำปาง!I323"")"),10)</f>
        <v>10</v>
      </c>
      <c r="J428" s="393">
        <f ca="1">IFERROR(__xludf.DUMMYFUNCTION("IMPORTRANGE(""https://docs.google.com/spreadsheets/d/11923uPwbBZFjjGgGUA6NLw09EwE0CqkOc4q9oUmW1yo/edit?usp=sharing"",""ลำปาง!J323"")"),10)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IFERROR(__xludf.DUMMYFUNCTION("IMPORTRANGE(""https://docs.google.com/spreadsheets/d/11923uPwbBZFjjGgGUA6NLw09EwE0CqkOc4q9oUmW1yo/edit?usp=sharing"",""ลำปาง!I324"")"),10)</f>
        <v>10</v>
      </c>
      <c r="J429" s="393">
        <f ca="1">IFERROR(__xludf.DUMMYFUNCTION("IMPORTRANGE(""https://docs.google.com/spreadsheets/d/11923uPwbBZFjjGgGUA6NLw09EwE0CqkOc4q9oUmW1yo/edit?usp=sharing"",""ลำปาง!J324"")"),10)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IFERROR(__xludf.DUMMYFUNCTION("IMPORTRANGE(""https://docs.google.com/spreadsheets/d/11923uPwbBZFjjGgGUA6NLw09EwE0CqkOc4q9oUmW1yo/edit?usp=sharing"",""ลำปาง!I325"")"),30)</f>
        <v>30</v>
      </c>
      <c r="J430" s="391">
        <f ca="1">IFERROR(__xludf.DUMMYFUNCTION("IMPORTRANGE(""https://docs.google.com/spreadsheets/d/11923uPwbBZFjjGgGUA6NLw09EwE0CqkOc4q9oUmW1yo/edit?usp=sharing"",""ลำปาง!J325"")"),0)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IFERROR(__xludf.DUMMYFUNCTION("IMPORTRANGE(""https://docs.google.com/spreadsheets/d/11923uPwbBZFjjGgGUA6NLw09EwE0CqkOc4q9oUmW1yo/edit?usp=sharing"",""ลำปาง!I326"")"),10)</f>
        <v>10</v>
      </c>
      <c r="J431" s="393">
        <f ca="1">IFERROR(__xludf.DUMMYFUNCTION("IMPORTRANGE(""https://docs.google.com/spreadsheets/d/11923uPwbBZFjjGgGUA6NLw09EwE0CqkOc4q9oUmW1yo/edit?usp=sharing"",""ลำปาง!J326"")"),0)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IFERROR(__xludf.DUMMYFUNCTION("IMPORTRANGE(""https://docs.google.com/spreadsheets/d/11923uPwbBZFjjGgGUA6NLw09EwE0CqkOc4q9oUmW1yo/edit?usp=sharing"",""ลำปาง!I327"")"),20)</f>
        <v>20</v>
      </c>
      <c r="J432" s="393">
        <f ca="1">IFERROR(__xludf.DUMMYFUNCTION("IMPORTRANGE(""https://docs.google.com/spreadsheets/d/11923uPwbBZFjjGgGUA6NLw09EwE0CqkOc4q9oUmW1yo/edit?usp=sharing"",""ลำปาง!J327"")"),0)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IFERROR(__xludf.DUMMYFUNCTION("IMPORTRANGE(""https://docs.google.com/spreadsheets/d/11923uPwbBZFjjGgGUA6NLw09EwE0CqkOc4q9oUmW1yo/edit?usp=sharing"",""ลำปาง!J328"")"),0)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IFERROR(__xludf.DUMMYFUNCTION("IMPORTRANGE(""https://docs.google.com/spreadsheets/d/11923uPwbBZFjjGgGUA6NLw09EwE0CqkOc4q9oUmW1yo/edit?usp=sharing"",""ลำปาง!J329"")"),0)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IFERROR(__xludf.DUMMYFUNCTION("IMPORTRANGE(""https://docs.google.com/spreadsheets/d/11923uPwbBZFjjGgGUA6NLw09EwE0CqkOc4q9oUmW1yo/edit?usp=sharing"",""ลำปาง!I330"")"),15)</f>
        <v>15</v>
      </c>
      <c r="J435" s="409">
        <f ca="1">IFERROR(__xludf.DUMMYFUNCTION("IMPORTRANGE(""https://docs.google.com/spreadsheets/d/11923uPwbBZFjjGgGUA6NLw09EwE0CqkOc4q9oUmW1yo/edit?usp=sharing"",""ลำปาง!J330"")"),15)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IFERROR(__xludf.DUMMYFUNCTION("IMPORTRANGE(""https://docs.google.com/spreadsheets/d/11923uPwbBZFjjGgGUA6NLw09EwE0CqkOc4q9oUmW1yo/edit?usp=sharing"",""ลำปาง!L330"")"),106000)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IFERROR(__xludf.DUMMYFUNCTION("IMPORTRANGE(""https://docs.google.com/spreadsheets/d/11923uPwbBZFjjGgGUA6NLw09EwE0CqkOc4q9oUmW1yo/edit?usp=sharing"",""ลำปาง!M330"")"),45560.39)</f>
        <v>45560.39</v>
      </c>
      <c r="O435" s="411">
        <f t="shared" ref="O435:O439" ca="1" si="114">+IF(L435&gt;0,N435*100/L435,0)</f>
        <v>42.981499999999997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IFERROR(__xludf.DUMMYFUNCTION("IMPORTRANGE(""https://docs.google.com/spreadsheets/d/11923uPwbBZFjjGgGUA6NLw09EwE0CqkOc4q9oUmW1yo/edit?usp=sharing"",""ลำปาง!L331"")"),0)</f>
        <v>0</v>
      </c>
      <c r="M436" s="164"/>
      <c r="N436" s="168">
        <f ca="1">IFERROR(__xludf.DUMMYFUNCTION("IMPORTRANGE(""https://docs.google.com/spreadsheets/d/11923uPwbBZFjjGgGUA6NLw09EwE0CqkOc4q9oUmW1yo/edit?usp=sharing"",""ลำปาง!M331"")"),0)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IFERROR(__xludf.DUMMYFUNCTION("IMPORTRANGE(""https://docs.google.com/spreadsheets/d/11923uPwbBZFjjGgGUA6NLw09EwE0CqkOc4q9oUmW1yo/edit?usp=sharing"",""ลำปาง!L332"")"),106000)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IFERROR(__xludf.DUMMYFUNCTION("IMPORTRANGE(""https://docs.google.com/spreadsheets/d/11923uPwbBZFjjGgGUA6NLw09EwE0CqkOc4q9oUmW1yo/edit?usp=sharing"",""ลำปาง!M332"")"),45560.39)</f>
        <v>45560.39</v>
      </c>
      <c r="O437" s="168">
        <f t="shared" ca="1" si="114"/>
        <v>42.981499999999997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IFERROR(__xludf.DUMMYFUNCTION("IMPORTRANGE(""https://docs.google.com/spreadsheets/d/11923uPwbBZFjjGgGUA6NLw09EwE0CqkOc4q9oUmW1yo/edit?usp=sharing"",""ลำปาง!L333"")"),0)</f>
        <v>0</v>
      </c>
      <c r="M438" s="168"/>
      <c r="N438" s="168">
        <f ca="1">IFERROR(__xludf.DUMMYFUNCTION("IMPORTRANGE(""https://docs.google.com/spreadsheets/d/11923uPwbBZFjjGgGUA6NLw09EwE0CqkOc4q9oUmW1yo/edit?usp=sharing"",""ลำปาง!M333"")"),0)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IFERROR(__xludf.DUMMYFUNCTION("IMPORTRANGE(""https://docs.google.com/spreadsheets/d/11923uPwbBZFjjGgGUA6NLw09EwE0CqkOc4q9oUmW1yo/edit?usp=sharing"",""ลำปาง!L334"")"),106000)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IFERROR(__xludf.DUMMYFUNCTION("IMPORTRANGE(""https://docs.google.com/spreadsheets/d/11923uPwbBZFjjGgGUA6NLw09EwE0CqkOc4q9oUmW1yo/edit?usp=sharing"",""ลำปาง!M334"")"),45560.39)</f>
        <v>45560.39</v>
      </c>
      <c r="O439" s="168">
        <f t="shared" ca="1" si="114"/>
        <v>42.981499999999997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IFERROR(__xludf.DUMMYFUNCTION("IMPORTRANGE(""https://docs.google.com/spreadsheets/d/11923uPwbBZFjjGgGUA6NLw09EwE0CqkOc4q9oUmW1yo/edit?usp=sharing"",""ลำปาง!M335"")"),32200)</f>
        <v>32200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IFERROR(__xludf.DUMMYFUNCTION("IMPORTRANGE(""https://docs.google.com/spreadsheets/d/11923uPwbBZFjjGgGUA6NLw09EwE0CqkOc4q9oUmW1yo/edit?usp=sharing"",""ลำปาง!M336"")"),0)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IFERROR(__xludf.DUMMYFUNCTION("IMPORTRANGE(""https://docs.google.com/spreadsheets/d/11923uPwbBZFjjGgGUA6NLw09EwE0CqkOc4q9oUmW1yo/edit?usp=sharing"",""ลำปาง!M337"")"),0)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IFERROR(__xludf.DUMMYFUNCTION("IMPORTRANGE(""https://docs.google.com/spreadsheets/d/11923uPwbBZFjjGgGUA6NLw09EwE0CqkOc4q9oUmW1yo/edit?usp=sharing"",""ลำปาง!M338"")"),13360.39)</f>
        <v>13360.39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IFERROR(__xludf.DUMMYFUNCTION("IMPORTRANGE(""https://docs.google.com/spreadsheets/d/11923uPwbBZFjjGgGUA6NLw09EwE0CqkOc4q9oUmW1yo/edit?usp=sharing"",""ลำปาง!J340"")"),0)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IFERROR(__xludf.DUMMYFUNCTION("IMPORTRANGE(""https://docs.google.com/spreadsheets/d/11923uPwbBZFjjGgGUA6NLw09EwE0CqkOc4q9oUmW1yo/edit?usp=sharing"",""ลำปาง!J341"")"),1)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IFERROR(__xludf.DUMMYFUNCTION("IMPORTRANGE(""https://docs.google.com/spreadsheets/d/11923uPwbBZFjjGgGUA6NLw09EwE0CqkOc4q9oUmW1yo/edit?usp=sharing"",""ลำปาง!J342"")"),1)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IFERROR(__xludf.DUMMYFUNCTION("IMPORTRANGE(""https://docs.google.com/spreadsheets/d/11923uPwbBZFjjGgGUA6NLw09EwE0CqkOc4q9oUmW1yo/edit?usp=sharing"",""ลำปาง!J343"")"),1)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IFERROR(__xludf.DUMMYFUNCTION("IMPORTRANGE(""https://docs.google.com/spreadsheets/d/11923uPwbBZFjjGgGUA6NLw09EwE0CqkOc4q9oUmW1yo/edit?usp=sharing"",""ลำปาง!I344"")"),15)</f>
        <v>15</v>
      </c>
      <c r="J449" s="200">
        <f ca="1">IFERROR(__xludf.DUMMYFUNCTION("IMPORTRANGE(""https://docs.google.com/spreadsheets/d/11923uPwbBZFjjGgGUA6NLw09EwE0CqkOc4q9oUmW1yo/edit?usp=sharing"",""ลำปาง!J344"")"),15)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IFERROR(__xludf.DUMMYFUNCTION("IMPORTRANGE(""https://docs.google.com/spreadsheets/d/11923uPwbBZFjjGgGUA6NLw09EwE0CqkOc4q9oUmW1yo/edit?usp=sharing"",""ลำปาง!I345"")"),15)</f>
        <v>15</v>
      </c>
      <c r="J450" s="188">
        <f ca="1">IFERROR(__xludf.DUMMYFUNCTION("IMPORTRANGE(""https://docs.google.com/spreadsheets/d/11923uPwbBZFjjGgGUA6NLw09EwE0CqkOc4q9oUmW1yo/edit?usp=sharing"",""ลำปาง!J345"")"),15)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IFERROR(__xludf.DUMMYFUNCTION("IMPORTRANGE(""https://docs.google.com/spreadsheets/d/11923uPwbBZFjjGgGUA6NLw09EwE0CqkOc4q9oUmW1yo/edit?usp=sharing"",""ลำปาง!I346"")"),0)</f>
        <v>0</v>
      </c>
      <c r="J451" s="187">
        <f ca="1">IFERROR(__xludf.DUMMYFUNCTION("IMPORTRANGE(""https://docs.google.com/spreadsheets/d/11923uPwbBZFjjGgGUA6NLw09EwE0CqkOc4q9oUmW1yo/edit?usp=sharing"",""ลำปาง!J346"")"),0)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IFERROR(__xludf.DUMMYFUNCTION("IMPORTRANGE(""https://docs.google.com/spreadsheets/d/11923uPwbBZFjjGgGUA6NLw09EwE0CqkOc4q9oUmW1yo/edit?usp=sharing"",""ลำปาง!I347"")"),0)</f>
        <v>0</v>
      </c>
      <c r="J452" s="187">
        <f ca="1">IFERROR(__xludf.DUMMYFUNCTION("IMPORTRANGE(""https://docs.google.com/spreadsheets/d/11923uPwbBZFjjGgGUA6NLw09EwE0CqkOc4q9oUmW1yo/edit?usp=sharing"",""ลำปาง!J347"")"),0)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IFERROR(__xludf.DUMMYFUNCTION("IMPORTRANGE(""https://docs.google.com/spreadsheets/d/11923uPwbBZFjjGgGUA6NLw09EwE0CqkOc4q9oUmW1yo/edit?usp=sharing"",""ลำปาง!J348"")"),0)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IFERROR(__xludf.DUMMYFUNCTION("IMPORTRANGE(""https://docs.google.com/spreadsheets/d/11923uPwbBZFjjGgGUA6NLw09EwE0CqkOc4q9oUmW1yo/edit?usp=sharing"",""ลำปาง!J349"")"),0)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IFERROR(__xludf.DUMMYFUNCTION("IMPORTRANGE(""https://docs.google.com/spreadsheets/d/11923uPwbBZFjjGgGUA6NLw09EwE0CqkOc4q9oUmW1yo/edit?usp=sharing"",""ลำปาง!I350"")"),44744)</f>
        <v>44744</v>
      </c>
      <c r="J455" s="370">
        <f ca="1">IFERROR(__xludf.DUMMYFUNCTION("IMPORTRANGE(""https://docs.google.com/spreadsheets/d/11923uPwbBZFjjGgGUA6NLw09EwE0CqkOc4q9oUmW1yo/edit?usp=sharing"",""ลำปาง!J350"")"),0)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IFERROR(__xludf.DUMMYFUNCTION("IMPORTRANGE(""https://docs.google.com/spreadsheets/d/11923uPwbBZFjjGgGUA6NLw09EwE0CqkOc4q9oUmW1yo/edit?usp=sharing"",""ลำปาง!L350"")"),616700)</f>
        <v>616700</v>
      </c>
      <c r="M455" s="372"/>
      <c r="N455" s="372">
        <f ca="1">IFERROR(__xludf.DUMMYFUNCTION("IMPORTRANGE(""https://docs.google.com/spreadsheets/d/11923uPwbBZFjjGgGUA6NLw09EwE0CqkOc4q9oUmW1yo/edit?usp=sharing"",""ลำปาง!M350"")"),222860.04)</f>
        <v>222860.04</v>
      </c>
      <c r="O455" s="372">
        <f t="shared" ref="O455:O459" ca="1" si="116">+IF(L455&gt;0,N455*100/L455,0)</f>
        <v>36.137512566888276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IFERROR(__xludf.DUMMYFUNCTION("IMPORTRANGE(""https://docs.google.com/spreadsheets/d/11923uPwbBZFjjGgGUA6NLw09EwE0CqkOc4q9oUmW1yo/edit?usp=sharing"",""ลำปาง!L351"")"),0)</f>
        <v>0</v>
      </c>
      <c r="M456" s="164"/>
      <c r="N456" s="168">
        <f ca="1">IFERROR(__xludf.DUMMYFUNCTION("IMPORTRANGE(""https://docs.google.com/spreadsheets/d/11923uPwbBZFjjGgGUA6NLw09EwE0CqkOc4q9oUmW1yo/edit?usp=sharing"",""ลำปาง!M351"")"),0)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IFERROR(__xludf.DUMMYFUNCTION("IMPORTRANGE(""https://docs.google.com/spreadsheets/d/11923uPwbBZFjjGgGUA6NLw09EwE0CqkOc4q9oUmW1yo/edit?usp=sharing"",""ลำปาง!L352"")"),616700)</f>
        <v>616700</v>
      </c>
      <c r="M457" s="165"/>
      <c r="N457" s="168">
        <f ca="1">IFERROR(__xludf.DUMMYFUNCTION("IMPORTRANGE(""https://docs.google.com/spreadsheets/d/11923uPwbBZFjjGgGUA6NLw09EwE0CqkOc4q9oUmW1yo/edit?usp=sharing"",""ลำปาง!M352"")"),222860.04)</f>
        <v>222860.04</v>
      </c>
      <c r="O457" s="168">
        <f t="shared" ca="1" si="116"/>
        <v>36.137512566888276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IFERROR(__xludf.DUMMYFUNCTION("IMPORTRANGE(""https://docs.google.com/spreadsheets/d/11923uPwbBZFjjGgGUA6NLw09EwE0CqkOc4q9oUmW1yo/edit?usp=sharing"",""ลำปาง!L353"")"),0)</f>
        <v>0</v>
      </c>
      <c r="M458" s="168"/>
      <c r="N458" s="168">
        <f ca="1">IFERROR(__xludf.DUMMYFUNCTION("IMPORTRANGE(""https://docs.google.com/spreadsheets/d/11923uPwbBZFjjGgGUA6NLw09EwE0CqkOc4q9oUmW1yo/edit?usp=sharing"",""ลำปาง!M353"")"),0)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IFERROR(__xludf.DUMMYFUNCTION("IMPORTRANGE(""https://docs.google.com/spreadsheets/d/11923uPwbBZFjjGgGUA6NLw09EwE0CqkOc4q9oUmW1yo/edit?usp=sharing"",""ลำปาง!L354"")"),616700)</f>
        <v>616700</v>
      </c>
      <c r="M459" s="168"/>
      <c r="N459" s="168">
        <f ca="1">IFERROR(__xludf.DUMMYFUNCTION("IMPORTRANGE(""https://docs.google.com/spreadsheets/d/11923uPwbBZFjjGgGUA6NLw09EwE0CqkOc4q9oUmW1yo/edit?usp=sharing"",""ลำปาง!M354"")"),222860.04)</f>
        <v>222860.04</v>
      </c>
      <c r="O459" s="168">
        <f t="shared" ca="1" si="116"/>
        <v>36.137512566888276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IFERROR(__xludf.DUMMYFUNCTION("IMPORTRANGE(""https://docs.google.com/spreadsheets/d/11923uPwbBZFjjGgGUA6NLw09EwE0CqkOc4q9oUmW1yo/edit?usp=sharing"",""ลำปาง!M355"")"),0)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IFERROR(__xludf.DUMMYFUNCTION("IMPORTRANGE(""https://docs.google.com/spreadsheets/d/11923uPwbBZFjjGgGUA6NLw09EwE0CqkOc4q9oUmW1yo/edit?usp=sharing"",""ลำปาง!M356"")"),0)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IFERROR(__xludf.DUMMYFUNCTION("IMPORTRANGE(""https://docs.google.com/spreadsheets/d/11923uPwbBZFjjGgGUA6NLw09EwE0CqkOc4q9oUmW1yo/edit?usp=sharing"",""ลำปาง!M357"")"),63800.04)</f>
        <v>63800.04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IFERROR(__xludf.DUMMYFUNCTION("IMPORTRANGE(""https://docs.google.com/spreadsheets/d/11923uPwbBZFjjGgGUA6NLw09EwE0CqkOc4q9oUmW1yo/edit?usp=sharing"",""ลำปาง!M358"")"),159060)</f>
        <v>159060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IFERROR(__xludf.DUMMYFUNCTION("IMPORTRANGE(""https://docs.google.com/spreadsheets/d/11923uPwbBZFjjGgGUA6NLw09EwE0CqkOc4q9oUmW1yo/edit?usp=sharing"",""ลำปาง!I359"")"),44744)</f>
        <v>44744</v>
      </c>
      <c r="J464" s="267">
        <f ca="1">IFERROR(__xludf.DUMMYFUNCTION("IMPORTRANGE(""https://docs.google.com/spreadsheets/d/11923uPwbBZFjjGgGUA6NLw09EwE0CqkOc4q9oUmW1yo/edit?usp=sharing"",""ลำปาง!J359"")"),0)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IFERROR(__xludf.DUMMYFUNCTION("IMPORTRANGE(""https://docs.google.com/spreadsheets/d/11923uPwbBZFjjGgGUA6NLw09EwE0CqkOc4q9oUmW1yo/edit?usp=sharing"",""ลำปาง!I360"")"),44744)</f>
        <v>44744</v>
      </c>
      <c r="J465" s="420">
        <f ca="1">IFERROR(__xludf.DUMMYFUNCTION("IMPORTRANGE(""https://docs.google.com/spreadsheets/d/11923uPwbBZFjjGgGUA6NLw09EwE0CqkOc4q9oUmW1yo/edit?usp=sharing"",""ลำปาง!J360"")"),44745.86)</f>
        <v>44745.86</v>
      </c>
      <c r="K465" s="201">
        <f t="shared" ca="1" si="117"/>
        <v>100.00415698194172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IFERROR(__xludf.DUMMYFUNCTION("IMPORTRANGE(""https://docs.google.com/spreadsheets/d/11923uPwbBZFjjGgGUA6NLw09EwE0CqkOc4q9oUmW1yo/edit?usp=sharing"",""ลำปาง!I361"")"),10122)</f>
        <v>10122</v>
      </c>
      <c r="J466" s="420">
        <f ca="1">IFERROR(__xludf.DUMMYFUNCTION("IMPORTRANGE(""https://docs.google.com/spreadsheets/d/11923uPwbBZFjjGgGUA6NLw09EwE0CqkOc4q9oUmW1yo/edit?usp=sharing"",""ลำปาง!J361"")"),10122)</f>
        <v>10122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IFERROR(__xludf.DUMMYFUNCTION("IMPORTRANGE(""https://docs.google.com/spreadsheets/d/11923uPwbBZFjjGgGUA6NLw09EwE0CqkOc4q9oUmW1yo/edit?usp=sharing"",""ลำปาง!I362"")"),0)</f>
        <v>0</v>
      </c>
      <c r="J467" s="188">
        <f ca="1">IFERROR(__xludf.DUMMYFUNCTION("IMPORTRANGE(""https://docs.google.com/spreadsheets/d/11923uPwbBZFjjGgGUA6NLw09EwE0CqkOc4q9oUmW1yo/edit?usp=sharing"",""ลำปาง!J362"")"),39549.86)</f>
        <v>39549.86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IFERROR(__xludf.DUMMYFUNCTION("IMPORTRANGE(""https://docs.google.com/spreadsheets/d/11923uPwbBZFjjGgGUA6NLw09EwE0CqkOc4q9oUmW1yo/edit?usp=sharing"",""ลำปาง!I363"")"),0)</f>
        <v>0</v>
      </c>
      <c r="J468" s="188">
        <f ca="1">IFERROR(__xludf.DUMMYFUNCTION("IMPORTRANGE(""https://docs.google.com/spreadsheets/d/11923uPwbBZFjjGgGUA6NLw09EwE0CqkOc4q9oUmW1yo/edit?usp=sharing"",""ลำปาง!J363"")"),9246)</f>
        <v>9246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IFERROR(__xludf.DUMMYFUNCTION("IMPORTRANGE(""https://docs.google.com/spreadsheets/d/11923uPwbBZFjjGgGUA6NLw09EwE0CqkOc4q9oUmW1yo/edit?usp=sharing"",""ลำปาง!I364"")"),0)</f>
        <v>0</v>
      </c>
      <c r="J469" s="188">
        <f ca="1">IFERROR(__xludf.DUMMYFUNCTION("IMPORTRANGE(""https://docs.google.com/spreadsheets/d/11923uPwbBZFjjGgGUA6NLw09EwE0CqkOc4q9oUmW1yo/edit?usp=sharing"",""ลำปาง!J364"")"),3960)</f>
        <v>3960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IFERROR(__xludf.DUMMYFUNCTION("IMPORTRANGE(""https://docs.google.com/spreadsheets/d/11923uPwbBZFjjGgGUA6NLw09EwE0CqkOc4q9oUmW1yo/edit?usp=sharing"",""ลำปาง!I365"")"),0)</f>
        <v>0</v>
      </c>
      <c r="J470" s="188">
        <f ca="1">IFERROR(__xludf.DUMMYFUNCTION("IMPORTRANGE(""https://docs.google.com/spreadsheets/d/11923uPwbBZFjjGgGUA6NLw09EwE0CqkOc4q9oUmW1yo/edit?usp=sharing"",""ลำปาง!J365"")"),619)</f>
        <v>619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IFERROR(__xludf.DUMMYFUNCTION("IMPORTRANGE(""https://docs.google.com/spreadsheets/d/11923uPwbBZFjjGgGUA6NLw09EwE0CqkOc4q9oUmW1yo/edit?usp=sharing"",""ลำปาง!I366"")"),0)</f>
        <v>0</v>
      </c>
      <c r="J471" s="188">
        <f ca="1">IFERROR(__xludf.DUMMYFUNCTION("IMPORTRANGE(""https://docs.google.com/spreadsheets/d/11923uPwbBZFjjGgGUA6NLw09EwE0CqkOc4q9oUmW1yo/edit?usp=sharing"",""ลำปาง!J366"")"),1236)</f>
        <v>1236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IFERROR(__xludf.DUMMYFUNCTION("IMPORTRANGE(""https://docs.google.com/spreadsheets/d/11923uPwbBZFjjGgGUA6NLw09EwE0CqkOc4q9oUmW1yo/edit?usp=sharing"",""ลำปาง!I367"")"),0)</f>
        <v>0</v>
      </c>
      <c r="J472" s="188">
        <f ca="1">IFERROR(__xludf.DUMMYFUNCTION("IMPORTRANGE(""https://docs.google.com/spreadsheets/d/11923uPwbBZFjjGgGUA6NLw09EwE0CqkOc4q9oUmW1yo/edit?usp=sharing"",""ลำปาง!J367"")"),257)</f>
        <v>257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IFERROR(__xludf.DUMMYFUNCTION("IMPORTRANGE(""https://docs.google.com/spreadsheets/d/11923uPwbBZFjjGgGUA6NLw09EwE0CqkOc4q9oUmW1yo/edit?usp=sharing"",""ลำปาง!I368"")"),44744)</f>
        <v>44744</v>
      </c>
      <c r="J473" s="420">
        <f ca="1">IFERROR(__xludf.DUMMYFUNCTION("IMPORTRANGE(""https://docs.google.com/spreadsheets/d/11923uPwbBZFjjGgGUA6NLw09EwE0CqkOc4q9oUmW1yo/edit?usp=sharing"",""ลำปาง!J368"")"),44745.86)</f>
        <v>44745.86</v>
      </c>
      <c r="K473" s="201">
        <f t="shared" ca="1" si="117"/>
        <v>100.00415698194172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IFERROR(__xludf.DUMMYFUNCTION("IMPORTRANGE(""https://docs.google.com/spreadsheets/d/11923uPwbBZFjjGgGUA6NLw09EwE0CqkOc4q9oUmW1yo/edit?usp=sharing"",""ลำปาง!I369"")"),10122)</f>
        <v>10122</v>
      </c>
      <c r="J474" s="420">
        <f ca="1">IFERROR(__xludf.DUMMYFUNCTION("IMPORTRANGE(""https://docs.google.com/spreadsheets/d/11923uPwbBZFjjGgGUA6NLw09EwE0CqkOc4q9oUmW1yo/edit?usp=sharing"",""ลำปาง!J369"")"),10122)</f>
        <v>10122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IFERROR(__xludf.DUMMYFUNCTION("IMPORTRANGE(""https://docs.google.com/spreadsheets/d/11923uPwbBZFjjGgGUA6NLw09EwE0CqkOc4q9oUmW1yo/edit?usp=sharing"",""ลำปาง!I370"")"),0)</f>
        <v>0</v>
      </c>
      <c r="J475" s="188">
        <f ca="1">IFERROR(__xludf.DUMMYFUNCTION("IMPORTRANGE(""https://docs.google.com/spreadsheets/d/11923uPwbBZFjjGgGUA6NLw09EwE0CqkOc4q9oUmW1yo/edit?usp=sharing"",""ลำปาง!J370"")"),39169.86)</f>
        <v>39169.86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IFERROR(__xludf.DUMMYFUNCTION("IMPORTRANGE(""https://docs.google.com/spreadsheets/d/11923uPwbBZFjjGgGUA6NLw09EwE0CqkOc4q9oUmW1yo/edit?usp=sharing"",""ลำปาง!I371"")"),0)</f>
        <v>0</v>
      </c>
      <c r="J476" s="188">
        <f ca="1">IFERROR(__xludf.DUMMYFUNCTION("IMPORTRANGE(""https://docs.google.com/spreadsheets/d/11923uPwbBZFjjGgGUA6NLw09EwE0CqkOc4q9oUmW1yo/edit?usp=sharing"",""ลำปาง!J371"")"),9220)</f>
        <v>9220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IFERROR(__xludf.DUMMYFUNCTION("IMPORTRANGE(""https://docs.google.com/spreadsheets/d/11923uPwbBZFjjGgGUA6NLw09EwE0CqkOc4q9oUmW1yo/edit?usp=sharing"",""ลำปาง!I372"")"),0)</f>
        <v>0</v>
      </c>
      <c r="J477" s="188">
        <f ca="1">IFERROR(__xludf.DUMMYFUNCTION("IMPORTRANGE(""https://docs.google.com/spreadsheets/d/11923uPwbBZFjjGgGUA6NLw09EwE0CqkOc4q9oUmW1yo/edit?usp=sharing"",""ลำปาง!J372"")"),4086)</f>
        <v>4086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IFERROR(__xludf.DUMMYFUNCTION("IMPORTRANGE(""https://docs.google.com/spreadsheets/d/11923uPwbBZFjjGgGUA6NLw09EwE0CqkOc4q9oUmW1yo/edit?usp=sharing"",""ลำปาง!I373"")"),0)</f>
        <v>0</v>
      </c>
      <c r="J478" s="188">
        <f ca="1">IFERROR(__xludf.DUMMYFUNCTION("IMPORTRANGE(""https://docs.google.com/spreadsheets/d/11923uPwbBZFjjGgGUA6NLw09EwE0CqkOc4q9oUmW1yo/edit?usp=sharing"",""ลำปาง!J373"")"),596)</f>
        <v>596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IFERROR(__xludf.DUMMYFUNCTION("IMPORTRANGE(""https://docs.google.com/spreadsheets/d/11923uPwbBZFjjGgGUA6NLw09EwE0CqkOc4q9oUmW1yo/edit?usp=sharing"",""ลำปาง!I374"")"),0)</f>
        <v>0</v>
      </c>
      <c r="J479" s="188">
        <f ca="1">IFERROR(__xludf.DUMMYFUNCTION("IMPORTRANGE(""https://docs.google.com/spreadsheets/d/11923uPwbBZFjjGgGUA6NLw09EwE0CqkOc4q9oUmW1yo/edit?usp=sharing"",""ลำปาง!J374"")"),1490)</f>
        <v>1490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IFERROR(__xludf.DUMMYFUNCTION("IMPORTRANGE(""https://docs.google.com/spreadsheets/d/11923uPwbBZFjjGgGUA6NLw09EwE0CqkOc4q9oUmW1yo/edit?usp=sharing"",""ลำปาง!I375"")"),0)</f>
        <v>0</v>
      </c>
      <c r="J480" s="188">
        <f ca="1">IFERROR(__xludf.DUMMYFUNCTION("IMPORTRANGE(""https://docs.google.com/spreadsheets/d/11923uPwbBZFjjGgGUA6NLw09EwE0CqkOc4q9oUmW1yo/edit?usp=sharing"",""ลำปาง!J375"")"),306)</f>
        <v>306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IFERROR(__xludf.DUMMYFUNCTION("IMPORTRANGE(""https://docs.google.com/spreadsheets/d/11923uPwbBZFjjGgGUA6NLw09EwE0CqkOc4q9oUmW1yo/edit?usp=sharing"",""ลำปาง!I376"")"),44744)</f>
        <v>44744</v>
      </c>
      <c r="J481" s="420">
        <f ca="1">IFERROR(__xludf.DUMMYFUNCTION("IMPORTRANGE(""https://docs.google.com/spreadsheets/d/11923uPwbBZFjjGgGUA6NLw09EwE0CqkOc4q9oUmW1yo/edit?usp=sharing"",""ลำปาง!J376"")"),0)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IFERROR(__xludf.DUMMYFUNCTION("IMPORTRANGE(""https://docs.google.com/spreadsheets/d/11923uPwbBZFjjGgGUA6NLw09EwE0CqkOc4q9oUmW1yo/edit?usp=sharing"",""ลำปาง!I377"")"),10122)</f>
        <v>10122</v>
      </c>
      <c r="J482" s="420">
        <f ca="1">IFERROR(__xludf.DUMMYFUNCTION("IMPORTRANGE(""https://docs.google.com/spreadsheets/d/11923uPwbBZFjjGgGUA6NLw09EwE0CqkOc4q9oUmW1yo/edit?usp=sharing"",""ลำปาง!J377"")"),0)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IFERROR(__xludf.DUMMYFUNCTION("IMPORTRANGE(""https://docs.google.com/spreadsheets/d/11923uPwbBZFjjGgGUA6NLw09EwE0CqkOc4q9oUmW1yo/edit?usp=sharing"",""ลำปาง!I378"")"),0)</f>
        <v>0</v>
      </c>
      <c r="J483" s="188">
        <f ca="1">IFERROR(__xludf.DUMMYFUNCTION("IMPORTRANGE(""https://docs.google.com/spreadsheets/d/11923uPwbBZFjjGgGUA6NLw09EwE0CqkOc4q9oUmW1yo/edit?usp=sharing"",""ลำปาง!J378"")"),0)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IFERROR(__xludf.DUMMYFUNCTION("IMPORTRANGE(""https://docs.google.com/spreadsheets/d/11923uPwbBZFjjGgGUA6NLw09EwE0CqkOc4q9oUmW1yo/edit?usp=sharing"",""ลำปาง!I379"")"),0)</f>
        <v>0</v>
      </c>
      <c r="J484" s="188">
        <f ca="1">IFERROR(__xludf.DUMMYFUNCTION("IMPORTRANGE(""https://docs.google.com/spreadsheets/d/11923uPwbBZFjjGgGUA6NLw09EwE0CqkOc4q9oUmW1yo/edit?usp=sharing"",""ลำปาง!J379"")"),0)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IFERROR(__xludf.DUMMYFUNCTION("IMPORTRANGE(""https://docs.google.com/spreadsheets/d/11923uPwbBZFjjGgGUA6NLw09EwE0CqkOc4q9oUmW1yo/edit?usp=sharing"",""ลำปาง!I380"")"),0)</f>
        <v>0</v>
      </c>
      <c r="J485" s="188">
        <f ca="1">IFERROR(__xludf.DUMMYFUNCTION("IMPORTRANGE(""https://docs.google.com/spreadsheets/d/11923uPwbBZFjjGgGUA6NLw09EwE0CqkOc4q9oUmW1yo/edit?usp=sharing"",""ลำปาง!J380"")"),0)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IFERROR(__xludf.DUMMYFUNCTION("IMPORTRANGE(""https://docs.google.com/spreadsheets/d/11923uPwbBZFjjGgGUA6NLw09EwE0CqkOc4q9oUmW1yo/edit?usp=sharing"",""ลำปาง!I381"")"),0)</f>
        <v>0</v>
      </c>
      <c r="J486" s="188">
        <f ca="1">IFERROR(__xludf.DUMMYFUNCTION("IMPORTRANGE(""https://docs.google.com/spreadsheets/d/11923uPwbBZFjjGgGUA6NLw09EwE0CqkOc4q9oUmW1yo/edit?usp=sharing"",""ลำปาง!J381"")"),0)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IFERROR(__xludf.DUMMYFUNCTION("IMPORTRANGE(""https://docs.google.com/spreadsheets/d/11923uPwbBZFjjGgGUA6NLw09EwE0CqkOc4q9oUmW1yo/edit?usp=sharing"",""ลำปาง!I382"")"),0)</f>
        <v>0</v>
      </c>
      <c r="J487" s="420">
        <f ca="1">IFERROR(__xludf.DUMMYFUNCTION("IMPORTRANGE(""https://docs.google.com/spreadsheets/d/11923uPwbBZFjjGgGUA6NLw09EwE0CqkOc4q9oUmW1yo/edit?usp=sharing"",""ลำปาง!J382"")"),0)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IFERROR(__xludf.DUMMYFUNCTION("IMPORTRANGE(""https://docs.google.com/spreadsheets/d/11923uPwbBZFjjGgGUA6NLw09EwE0CqkOc4q9oUmW1yo/edit?usp=sharing"",""ลำปาง!I383"")"),0)</f>
        <v>0</v>
      </c>
      <c r="J488" s="420">
        <f ca="1">IFERROR(__xludf.DUMMYFUNCTION("IMPORTRANGE(""https://docs.google.com/spreadsheets/d/11923uPwbBZFjjGgGUA6NLw09EwE0CqkOc4q9oUmW1yo/edit?usp=sharing"",""ลำปาง!J383"")"),0)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IFERROR(__xludf.DUMMYFUNCTION("IMPORTRANGE(""https://docs.google.com/spreadsheets/d/11923uPwbBZFjjGgGUA6NLw09EwE0CqkOc4q9oUmW1yo/edit?usp=sharing"",""ลำปาง!I384"")"),0)</f>
        <v>0</v>
      </c>
      <c r="J489" s="188">
        <f ca="1">IFERROR(__xludf.DUMMYFUNCTION("IMPORTRANGE(""https://docs.google.com/spreadsheets/d/11923uPwbBZFjjGgGUA6NLw09EwE0CqkOc4q9oUmW1yo/edit?usp=sharing"",""ลำปาง!J384"")"),0)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IFERROR(__xludf.DUMMYFUNCTION("IMPORTRANGE(""https://docs.google.com/spreadsheets/d/11923uPwbBZFjjGgGUA6NLw09EwE0CqkOc4q9oUmW1yo/edit?usp=sharing"",""ลำปาง!I385"")"),0)</f>
        <v>0</v>
      </c>
      <c r="J490" s="188">
        <f ca="1">IFERROR(__xludf.DUMMYFUNCTION("IMPORTRANGE(""https://docs.google.com/spreadsheets/d/11923uPwbBZFjjGgGUA6NLw09EwE0CqkOc4q9oUmW1yo/edit?usp=sharing"",""ลำปาง!J385"")"),0)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IFERROR(__xludf.DUMMYFUNCTION("IMPORTRANGE(""https://docs.google.com/spreadsheets/d/11923uPwbBZFjjGgGUA6NLw09EwE0CqkOc4q9oUmW1yo/edit?usp=sharing"",""ลำปาง!I386"")"),0)</f>
        <v>0</v>
      </c>
      <c r="J491" s="188">
        <f ca="1">IFERROR(__xludf.DUMMYFUNCTION("IMPORTRANGE(""https://docs.google.com/spreadsheets/d/11923uPwbBZFjjGgGUA6NLw09EwE0CqkOc4q9oUmW1yo/edit?usp=sharing"",""ลำปาง!J386"")"),0)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IFERROR(__xludf.DUMMYFUNCTION("IMPORTRANGE(""https://docs.google.com/spreadsheets/d/11923uPwbBZFjjGgGUA6NLw09EwE0CqkOc4q9oUmW1yo/edit?usp=sharing"",""ลำปาง!I387"")"),0)</f>
        <v>0</v>
      </c>
      <c r="J492" s="188">
        <f ca="1">IFERROR(__xludf.DUMMYFUNCTION("IMPORTRANGE(""https://docs.google.com/spreadsheets/d/11923uPwbBZFjjGgGUA6NLw09EwE0CqkOc4q9oUmW1yo/edit?usp=sharing"",""ลำปาง!J387"")"),0)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IFERROR(__xludf.DUMMYFUNCTION("IMPORTRANGE(""https://docs.google.com/spreadsheets/d/11923uPwbBZFjjGgGUA6NLw09EwE0CqkOc4q9oUmW1yo/edit?usp=sharing"",""ลำปาง!I388"")"),0)</f>
        <v>0</v>
      </c>
      <c r="J493" s="188">
        <f ca="1">IFERROR(__xludf.DUMMYFUNCTION("IMPORTRANGE(""https://docs.google.com/spreadsheets/d/11923uPwbBZFjjGgGUA6NLw09EwE0CqkOc4q9oUmW1yo/edit?usp=sharing"",""ลำปาง!J388"")"),0)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IFERROR(__xludf.DUMMYFUNCTION("IMPORTRANGE(""https://docs.google.com/spreadsheets/d/11923uPwbBZFjjGgGUA6NLw09EwE0CqkOc4q9oUmW1yo/edit?usp=sharing"",""ลำปาง!I389"")"),0)</f>
        <v>0</v>
      </c>
      <c r="J494" s="436">
        <f ca="1">IFERROR(__xludf.DUMMYFUNCTION("IMPORTRANGE(""https://docs.google.com/spreadsheets/d/11923uPwbBZFjjGgGUA6NLw09EwE0CqkOc4q9oUmW1yo/edit?usp=sharing"",""ลำปาง!J389"")"),0)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IFERROR(__xludf.DUMMYFUNCTION("IMPORTRANGE(""https://docs.google.com/spreadsheets/d/11923uPwbBZFjjGgGUA6NLw09EwE0CqkOc4q9oUmW1yo/edit?usp=sharing"",""ลำปาง!I390"")"),0)</f>
        <v>0</v>
      </c>
      <c r="J495" s="436">
        <f ca="1">IFERROR(__xludf.DUMMYFUNCTION("IMPORTRANGE(""https://docs.google.com/spreadsheets/d/11923uPwbBZFjjGgGUA6NLw09EwE0CqkOc4q9oUmW1yo/edit?usp=sharing"",""ลำปาง!J390"")"),0)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IFERROR(__xludf.DUMMYFUNCTION("IMPORTRANGE(""https://docs.google.com/spreadsheets/d/11923uPwbBZFjjGgGUA6NLw09EwE0CqkOc4q9oUmW1yo/edit?usp=sharing"",""ลำปาง!I391"")"),0)</f>
        <v>0</v>
      </c>
      <c r="J496" s="436">
        <f ca="1">IFERROR(__xludf.DUMMYFUNCTION("IMPORTRANGE(""https://docs.google.com/spreadsheets/d/11923uPwbBZFjjGgGUA6NLw09EwE0CqkOc4q9oUmW1yo/edit?usp=sharing"",""ลำปาง!J391"")"),0)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IFERROR(__xludf.DUMMYFUNCTION("IMPORTRANGE(""https://docs.google.com/spreadsheets/d/11923uPwbBZFjjGgGUA6NLw09EwE0CqkOc4q9oUmW1yo/edit?usp=sharing"",""ลำปาง!I392"")"),2837)</f>
        <v>2837</v>
      </c>
      <c r="J497" s="443">
        <f ca="1">IFERROR(__xludf.DUMMYFUNCTION("IMPORTRANGE(""https://docs.google.com/spreadsheets/d/11923uPwbBZFjjGgGUA6NLw09EwE0CqkOc4q9oUmW1yo/edit?usp=sharing"",""ลำปาง!J392"")"),730)</f>
        <v>730</v>
      </c>
      <c r="K497" s="444">
        <f t="shared" ca="1" si="117"/>
        <v>25.731406415227355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IFERROR(__xludf.DUMMYFUNCTION("IMPORTRANGE(""https://docs.google.com/spreadsheets/d/11923uPwbBZFjjGgGUA6NLw09EwE0CqkOc4q9oUmW1yo/edit?usp=sharing"",""ลำปาง!I393"")"),2837)</f>
        <v>2837</v>
      </c>
      <c r="J498" s="420">
        <f ca="1">IFERROR(__xludf.DUMMYFUNCTION("IMPORTRANGE(""https://docs.google.com/spreadsheets/d/11923uPwbBZFjjGgGUA6NLw09EwE0CqkOc4q9oUmW1yo/edit?usp=sharing"",""ลำปาง!J393"")"),730)</f>
        <v>730</v>
      </c>
      <c r="K498" s="201">
        <f t="shared" ca="1" si="117"/>
        <v>25.731406415227355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IFERROR(__xludf.DUMMYFUNCTION("IMPORTRANGE(""https://docs.google.com/spreadsheets/d/11923uPwbBZFjjGgGUA6NLw09EwE0CqkOc4q9oUmW1yo/edit?usp=sharing"",""ลำปาง!I394"")"),353)</f>
        <v>353</v>
      </c>
      <c r="J499" s="420">
        <f ca="1">IFERROR(__xludf.DUMMYFUNCTION("IMPORTRANGE(""https://docs.google.com/spreadsheets/d/11923uPwbBZFjjGgGUA6NLw09EwE0CqkOc4q9oUmW1yo/edit?usp=sharing"",""ลำปาง!J394"")"),97)</f>
        <v>97</v>
      </c>
      <c r="K499" s="201">
        <f t="shared" ca="1" si="117"/>
        <v>27.478753541076486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IFERROR(__xludf.DUMMYFUNCTION("IMPORTRANGE(""https://docs.google.com/spreadsheets/d/11923uPwbBZFjjGgGUA6NLw09EwE0CqkOc4q9oUmW1yo/edit?usp=sharing"",""ลำปาง!I395"")"),0)</f>
        <v>0</v>
      </c>
      <c r="J500" s="162">
        <f ca="1">IFERROR(__xludf.DUMMYFUNCTION("IMPORTRANGE(""https://docs.google.com/spreadsheets/d/11923uPwbBZFjjGgGUA6NLw09EwE0CqkOc4q9oUmW1yo/edit?usp=sharing"",""ลำปาง!J395"")"),730)</f>
        <v>730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IFERROR(__xludf.DUMMYFUNCTION("IMPORTRANGE(""https://docs.google.com/spreadsheets/d/11923uPwbBZFjjGgGUA6NLw09EwE0CqkOc4q9oUmW1yo/edit?usp=sharing"",""ลำปาง!I396"")"),0)</f>
        <v>0</v>
      </c>
      <c r="J501" s="162">
        <f ca="1">IFERROR(__xludf.DUMMYFUNCTION("IMPORTRANGE(""https://docs.google.com/spreadsheets/d/11923uPwbBZFjjGgGUA6NLw09EwE0CqkOc4q9oUmW1yo/edit?usp=sharing"",""ลำปาง!J396"")"),97)</f>
        <v>97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IFERROR(__xludf.DUMMYFUNCTION("IMPORTRANGE(""https://docs.google.com/spreadsheets/d/11923uPwbBZFjjGgGUA6NLw09EwE0CqkOc4q9oUmW1yo/edit?usp=sharing"",""ลำปาง!I397"")"),0)</f>
        <v>0</v>
      </c>
      <c r="J502" s="188">
        <f ca="1">IFERROR(__xludf.DUMMYFUNCTION("IMPORTRANGE(""https://docs.google.com/spreadsheets/d/11923uPwbBZFjjGgGUA6NLw09EwE0CqkOc4q9oUmW1yo/edit?usp=sharing"",""ลำปาง!J397"")"),730)</f>
        <v>730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IFERROR(__xludf.DUMMYFUNCTION("IMPORTRANGE(""https://docs.google.com/spreadsheets/d/11923uPwbBZFjjGgGUA6NLw09EwE0CqkOc4q9oUmW1yo/edit?usp=sharing"",""ลำปาง!I398"")"),0)</f>
        <v>0</v>
      </c>
      <c r="J503" s="197">
        <f ca="1">IFERROR(__xludf.DUMMYFUNCTION("IMPORTRANGE(""https://docs.google.com/spreadsheets/d/11923uPwbBZFjjGgGUA6NLw09EwE0CqkOc4q9oUmW1yo/edit?usp=sharing"",""ลำปาง!J398"")"),97)</f>
        <v>97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IFERROR(__xludf.DUMMYFUNCTION("IMPORTRANGE(""https://docs.google.com/spreadsheets/d/11923uPwbBZFjjGgGUA6NLw09EwE0CqkOc4q9oUmW1yo/edit?usp=sharing"",""ลำปาง!I399"")"),0)</f>
        <v>0</v>
      </c>
      <c r="J504" s="188">
        <f ca="1">IFERROR(__xludf.DUMMYFUNCTION("IMPORTRANGE(""https://docs.google.com/spreadsheets/d/11923uPwbBZFjjGgGUA6NLw09EwE0CqkOc4q9oUmW1yo/edit?usp=sharing"",""ลำปาง!J399"")"),0)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IFERROR(__xludf.DUMMYFUNCTION("IMPORTRANGE(""https://docs.google.com/spreadsheets/d/11923uPwbBZFjjGgGUA6NLw09EwE0CqkOc4q9oUmW1yo/edit?usp=sharing"",""ลำปาง!I400"")"),0)</f>
        <v>0</v>
      </c>
      <c r="J505" s="197">
        <f ca="1">IFERROR(__xludf.DUMMYFUNCTION("IMPORTRANGE(""https://docs.google.com/spreadsheets/d/11923uPwbBZFjjGgGUA6NLw09EwE0CqkOc4q9oUmW1yo/edit?usp=sharing"",""ลำปาง!J400"")"),0)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IFERROR(__xludf.DUMMYFUNCTION("IMPORTRANGE(""https://docs.google.com/spreadsheets/d/11923uPwbBZFjjGgGUA6NLw09EwE0CqkOc4q9oUmW1yo/edit?usp=sharing"",""ลำปาง!I401"")"),0)</f>
        <v>0</v>
      </c>
      <c r="J506" s="188">
        <f ca="1">IFERROR(__xludf.DUMMYFUNCTION("IMPORTRANGE(""https://docs.google.com/spreadsheets/d/11923uPwbBZFjjGgGUA6NLw09EwE0CqkOc4q9oUmW1yo/edit?usp=sharing"",""ลำปาง!J401"")"),0)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IFERROR(__xludf.DUMMYFUNCTION("IMPORTRANGE(""https://docs.google.com/spreadsheets/d/11923uPwbBZFjjGgGUA6NLw09EwE0CqkOc4q9oUmW1yo/edit?usp=sharing"",""ลำปาง!I402"")"),0)</f>
        <v>0</v>
      </c>
      <c r="J507" s="197">
        <f ca="1">IFERROR(__xludf.DUMMYFUNCTION("IMPORTRANGE(""https://docs.google.com/spreadsheets/d/11923uPwbBZFjjGgGUA6NLw09EwE0CqkOc4q9oUmW1yo/edit?usp=sharing"",""ลำปาง!J402"")"),0)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IFERROR(__xludf.DUMMYFUNCTION("IMPORTRANGE(""https://docs.google.com/spreadsheets/d/11923uPwbBZFjjGgGUA6NLw09EwE0CqkOc4q9oUmW1yo/edit?usp=sharing"",""ลำปาง!I403"")"),0)</f>
        <v>0</v>
      </c>
      <c r="J508" s="162">
        <f ca="1">IFERROR(__xludf.DUMMYFUNCTION("IMPORTRANGE(""https://docs.google.com/spreadsheets/d/11923uPwbBZFjjGgGUA6NLw09EwE0CqkOc4q9oUmW1yo/edit?usp=sharing"",""ลำปาง!J403"")"),0)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IFERROR(__xludf.DUMMYFUNCTION("IMPORTRANGE(""https://docs.google.com/spreadsheets/d/11923uPwbBZFjjGgGUA6NLw09EwE0CqkOc4q9oUmW1yo/edit?usp=sharing"",""ลำปาง!I404"")"),0)</f>
        <v>0</v>
      </c>
      <c r="J509" s="162">
        <f ca="1">IFERROR(__xludf.DUMMYFUNCTION("IMPORTRANGE(""https://docs.google.com/spreadsheets/d/11923uPwbBZFjjGgGUA6NLw09EwE0CqkOc4q9oUmW1yo/edit?usp=sharing"",""ลำปาง!J404"")"),0)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IFERROR(__xludf.DUMMYFUNCTION("IMPORTRANGE(""https://docs.google.com/spreadsheets/d/11923uPwbBZFjjGgGUA6NLw09EwE0CqkOc4q9oUmW1yo/edit?usp=sharing"",""ลำปาง!I405"")"),0)</f>
        <v>0</v>
      </c>
      <c r="J510" s="197">
        <f ca="1">IFERROR(__xludf.DUMMYFUNCTION("IMPORTRANGE(""https://docs.google.com/spreadsheets/d/11923uPwbBZFjjGgGUA6NLw09EwE0CqkOc4q9oUmW1yo/edit?usp=sharing"",""ลำปาง!J405"")"),0)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IFERROR(__xludf.DUMMYFUNCTION("IMPORTRANGE(""https://docs.google.com/spreadsheets/d/11923uPwbBZFjjGgGUA6NLw09EwE0CqkOc4q9oUmW1yo/edit?usp=sharing"",""ลำปาง!I406"")"),0)</f>
        <v>0</v>
      </c>
      <c r="J511" s="197">
        <f ca="1">IFERROR(__xludf.DUMMYFUNCTION("IMPORTRANGE(""https://docs.google.com/spreadsheets/d/11923uPwbBZFjjGgGUA6NLw09EwE0CqkOc4q9oUmW1yo/edit?usp=sharing"",""ลำปาง!J406"")"),0)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IFERROR(__xludf.DUMMYFUNCTION("IMPORTRANGE(""https://docs.google.com/spreadsheets/d/11923uPwbBZFjjGgGUA6NLw09EwE0CqkOc4q9oUmW1yo/edit?usp=sharing"",""ลำปาง!I407"")"),0)</f>
        <v>0</v>
      </c>
      <c r="J512" s="197">
        <f ca="1">IFERROR(__xludf.DUMMYFUNCTION("IMPORTRANGE(""https://docs.google.com/spreadsheets/d/11923uPwbBZFjjGgGUA6NLw09EwE0CqkOc4q9oUmW1yo/edit?usp=sharing"",""ลำปาง!J407"")"),0)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IFERROR(__xludf.DUMMYFUNCTION("IMPORTRANGE(""https://docs.google.com/spreadsheets/d/11923uPwbBZFjjGgGUA6NLw09EwE0CqkOc4q9oUmW1yo/edit?usp=sharing"",""ลำปาง!I408"")"),0)</f>
        <v>0</v>
      </c>
      <c r="J513" s="197">
        <f ca="1">IFERROR(__xludf.DUMMYFUNCTION("IMPORTRANGE(""https://docs.google.com/spreadsheets/d/11923uPwbBZFjjGgGUA6NLw09EwE0CqkOc4q9oUmW1yo/edit?usp=sharing"",""ลำปาง!J408"")"),0)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IFERROR(__xludf.DUMMYFUNCTION("IMPORTRANGE(""https://docs.google.com/spreadsheets/d/11923uPwbBZFjjGgGUA6NLw09EwE0CqkOc4q9oUmW1yo/edit?usp=sharing"",""ลำปาง!I409"")"),0)</f>
        <v>0</v>
      </c>
      <c r="J514" s="197">
        <f ca="1">IFERROR(__xludf.DUMMYFUNCTION("IMPORTRANGE(""https://docs.google.com/spreadsheets/d/11923uPwbBZFjjGgGUA6NLw09EwE0CqkOc4q9oUmW1yo/edit?usp=sharing"",""ลำปาง!J409"")"),0)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IFERROR(__xludf.DUMMYFUNCTION("IMPORTRANGE(""https://docs.google.com/spreadsheets/d/11923uPwbBZFjjGgGUA6NLw09EwE0CqkOc4q9oUmW1yo/edit?usp=sharing"",""ลำปาง!I410"")"),0)</f>
        <v>0</v>
      </c>
      <c r="J515" s="197">
        <f ca="1">IFERROR(__xludf.DUMMYFUNCTION("IMPORTRANGE(""https://docs.google.com/spreadsheets/d/11923uPwbBZFjjGgGUA6NLw09EwE0CqkOc4q9oUmW1yo/edit?usp=sharing"",""ลำปาง!J410"")"),0)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IFERROR(__xludf.DUMMYFUNCTION("IMPORTRANGE(""https://docs.google.com/spreadsheets/d/11923uPwbBZFjjGgGUA6NLw09EwE0CqkOc4q9oUmW1yo/edit?usp=sharing"",""ลำปาง!I411"")"),0)</f>
        <v>0</v>
      </c>
      <c r="J516" s="267">
        <f ca="1">IFERROR(__xludf.DUMMYFUNCTION("IMPORTRANGE(""https://docs.google.com/spreadsheets/d/11923uPwbBZFjjGgGUA6NLw09EwE0CqkOc4q9oUmW1yo/edit?usp=sharing"",""ลำปาง!J411"")"),0)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IFERROR(__xludf.DUMMYFUNCTION("IMPORTRANGE(""https://docs.google.com/spreadsheets/d/11923uPwbBZFjjGgGUA6NLw09EwE0CqkOc4q9oUmW1yo/edit?usp=sharing"",""ลำปาง!I412"")"),0)</f>
        <v>0</v>
      </c>
      <c r="J517" s="284">
        <f ca="1">IFERROR(__xludf.DUMMYFUNCTION("IMPORTRANGE(""https://docs.google.com/spreadsheets/d/11923uPwbBZFjjGgGUA6NLw09EwE0CqkOc4q9oUmW1yo/edit?usp=sharing"",""ลำปาง!J412"")"),0)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IFERROR(__xludf.DUMMYFUNCTION("IMPORTRANGE(""https://docs.google.com/spreadsheets/d/11923uPwbBZFjjGgGUA6NLw09EwE0CqkOc4q9oUmW1yo/edit?usp=sharing"",""ลำปาง!I413"")"),0)</f>
        <v>0</v>
      </c>
      <c r="J518" s="284">
        <f ca="1">IFERROR(__xludf.DUMMYFUNCTION("IMPORTRANGE(""https://docs.google.com/spreadsheets/d/11923uPwbBZFjjGgGUA6NLw09EwE0CqkOc4q9oUmW1yo/edit?usp=sharing"",""ลำปาง!J413"")"),0)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IFERROR(__xludf.DUMMYFUNCTION("IMPORTRANGE(""https://docs.google.com/spreadsheets/d/11923uPwbBZFjjGgGUA6NLw09EwE0CqkOc4q9oUmW1yo/edit?usp=sharing"",""ลำปาง!I414"")"),0)</f>
        <v>0</v>
      </c>
      <c r="J519" s="187">
        <f ca="1">IFERROR(__xludf.DUMMYFUNCTION("IMPORTRANGE(""https://docs.google.com/spreadsheets/d/11923uPwbBZFjjGgGUA6NLw09EwE0CqkOc4q9oUmW1yo/edit?usp=sharing"",""ลำปาง!J414"")"),0)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IFERROR(__xludf.DUMMYFUNCTION("IMPORTRANGE(""https://docs.google.com/spreadsheets/d/11923uPwbBZFjjGgGUA6NLw09EwE0CqkOc4q9oUmW1yo/edit?usp=sharing"",""ลำปาง!I415"")"),0)</f>
        <v>0</v>
      </c>
      <c r="J520" s="187">
        <f ca="1">IFERROR(__xludf.DUMMYFUNCTION("IMPORTRANGE(""https://docs.google.com/spreadsheets/d/11923uPwbBZFjjGgGUA6NLw09EwE0CqkOc4q9oUmW1yo/edit?usp=sharing"",""ลำปาง!J415"")"),0)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IFERROR(__xludf.DUMMYFUNCTION("IMPORTRANGE(""https://docs.google.com/spreadsheets/d/11923uPwbBZFjjGgGUA6NLw09EwE0CqkOc4q9oUmW1yo/edit?usp=sharing"",""ลำปาง!I416"")"),0)</f>
        <v>0</v>
      </c>
      <c r="J521" s="187">
        <f ca="1">IFERROR(__xludf.DUMMYFUNCTION("IMPORTRANGE(""https://docs.google.com/spreadsheets/d/11923uPwbBZFjjGgGUA6NLw09EwE0CqkOc4q9oUmW1yo/edit?usp=sharing"",""ลำปาง!J416"")"),0)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IFERROR(__xludf.DUMMYFUNCTION("IMPORTRANGE(""https://docs.google.com/spreadsheets/d/11923uPwbBZFjjGgGUA6NLw09EwE0CqkOc4q9oUmW1yo/edit?usp=sharing"",""ลำปาง!I417"")"),0)</f>
        <v>0</v>
      </c>
      <c r="J522" s="187">
        <f ca="1">IFERROR(__xludf.DUMMYFUNCTION("IMPORTRANGE(""https://docs.google.com/spreadsheets/d/11923uPwbBZFjjGgGUA6NLw09EwE0CqkOc4q9oUmW1yo/edit?usp=sharing"",""ลำปาง!J417"")"),0)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IFERROR(__xludf.DUMMYFUNCTION("IMPORTRANGE(""https://docs.google.com/spreadsheets/d/11923uPwbBZFjjGgGUA6NLw09EwE0CqkOc4q9oUmW1yo/edit?usp=sharing"",""ลำปาง!I418"")"),0)</f>
        <v>0</v>
      </c>
      <c r="J523" s="187">
        <f ca="1">IFERROR(__xludf.DUMMYFUNCTION("IMPORTRANGE(""https://docs.google.com/spreadsheets/d/11923uPwbBZFjjGgGUA6NLw09EwE0CqkOc4q9oUmW1yo/edit?usp=sharing"",""ลำปาง!J418"")"),54)</f>
        <v>54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IFERROR(__xludf.DUMMYFUNCTION("IMPORTRANGE(""https://docs.google.com/spreadsheets/d/11923uPwbBZFjjGgGUA6NLw09EwE0CqkOc4q9oUmW1yo/edit?usp=sharing"",""ลำปาง!I419"")"),0)</f>
        <v>0</v>
      </c>
      <c r="J524" s="187">
        <f ca="1">IFERROR(__xludf.DUMMYFUNCTION("IMPORTRANGE(""https://docs.google.com/spreadsheets/d/11923uPwbBZFjjGgGUA6NLw09EwE0CqkOc4q9oUmW1yo/edit?usp=sharing"",""ลำปาง!J419"")"),6)</f>
        <v>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IFERROR(__xludf.DUMMYFUNCTION("IMPORTRANGE(""https://docs.google.com/spreadsheets/d/11923uPwbBZFjjGgGUA6NLw09EwE0CqkOc4q9oUmW1yo/edit?usp=sharing"",""ลำปาง!I420"")"),54)</f>
        <v>54</v>
      </c>
      <c r="J525" s="284">
        <f ca="1">IFERROR(__xludf.DUMMYFUNCTION("IMPORTRANGE(""https://docs.google.com/spreadsheets/d/11923uPwbBZFjjGgGUA6NLw09EwE0CqkOc4q9oUmW1yo/edit?usp=sharing"",""ลำปาง!J420"")"),0)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IFERROR(__xludf.DUMMYFUNCTION("IMPORTRANGE(""https://docs.google.com/spreadsheets/d/11923uPwbBZFjjGgGUA6NLw09EwE0CqkOc4q9oUmW1yo/edit?usp=sharing"",""ลำปาง!I421"")"),6)</f>
        <v>6</v>
      </c>
      <c r="J526" s="284">
        <f ca="1">IFERROR(__xludf.DUMMYFUNCTION("IMPORTRANGE(""https://docs.google.com/spreadsheets/d/11923uPwbBZFjjGgGUA6NLw09EwE0CqkOc4q9oUmW1yo/edit?usp=sharing"",""ลำปาง!J421"")"),0)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IFERROR(__xludf.DUMMYFUNCTION("IMPORTRANGE(""https://docs.google.com/spreadsheets/d/11923uPwbBZFjjGgGUA6NLw09EwE0CqkOc4q9oUmW1yo/edit?usp=sharing"",""ลำปาง!I422"")"),0)</f>
        <v>0</v>
      </c>
      <c r="J527" s="197">
        <f ca="1">IFERROR(__xludf.DUMMYFUNCTION("IMPORTRANGE(""https://docs.google.com/spreadsheets/d/11923uPwbBZFjjGgGUA6NLw09EwE0CqkOc4q9oUmW1yo/edit?usp=sharing"",""ลำปาง!J422"")"),0)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IFERROR(__xludf.DUMMYFUNCTION("IMPORTRANGE(""https://docs.google.com/spreadsheets/d/11923uPwbBZFjjGgGUA6NLw09EwE0CqkOc4q9oUmW1yo/edit?usp=sharing"",""ลำปาง!I423"")"),0)</f>
        <v>0</v>
      </c>
      <c r="J528" s="197">
        <f ca="1">IFERROR(__xludf.DUMMYFUNCTION("IMPORTRANGE(""https://docs.google.com/spreadsheets/d/11923uPwbBZFjjGgGUA6NLw09EwE0CqkOc4q9oUmW1yo/edit?usp=sharing"",""ลำปาง!J423"")"),0)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IFERROR(__xludf.DUMMYFUNCTION("IMPORTRANGE(""https://docs.google.com/spreadsheets/d/11923uPwbBZFjjGgGUA6NLw09EwE0CqkOc4q9oUmW1yo/edit?usp=sharing"",""ลำปาง!I424"")"),0)</f>
        <v>0</v>
      </c>
      <c r="J529" s="197">
        <f ca="1">IFERROR(__xludf.DUMMYFUNCTION("IMPORTRANGE(""https://docs.google.com/spreadsheets/d/11923uPwbBZFjjGgGUA6NLw09EwE0CqkOc4q9oUmW1yo/edit?usp=sharing"",""ลำปาง!J424"")"),0)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IFERROR(__xludf.DUMMYFUNCTION("IMPORTRANGE(""https://docs.google.com/spreadsheets/d/11923uPwbBZFjjGgGUA6NLw09EwE0CqkOc4q9oUmW1yo/edit?usp=sharing"",""ลำปาง!I425"")"),0)</f>
        <v>0</v>
      </c>
      <c r="J530" s="197">
        <f ca="1">IFERROR(__xludf.DUMMYFUNCTION("IMPORTRANGE(""https://docs.google.com/spreadsheets/d/11923uPwbBZFjjGgGUA6NLw09EwE0CqkOc4q9oUmW1yo/edit?usp=sharing"",""ลำปาง!J425"")"),0)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IFERROR(__xludf.DUMMYFUNCTION("IMPORTRANGE(""https://docs.google.com/spreadsheets/d/11923uPwbBZFjjGgGUA6NLw09EwE0CqkOc4q9oUmW1yo/edit?usp=sharing"",""ลำปาง!I426"")"),0)</f>
        <v>0</v>
      </c>
      <c r="J531" s="197">
        <f ca="1">IFERROR(__xludf.DUMMYFUNCTION("IMPORTRANGE(""https://docs.google.com/spreadsheets/d/11923uPwbBZFjjGgGUA6NLw09EwE0CqkOc4q9oUmW1yo/edit?usp=sharing"",""ลำปาง!J426"")"),0)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IFERROR(__xludf.DUMMYFUNCTION("IMPORTRANGE(""https://docs.google.com/spreadsheets/d/11923uPwbBZFjjGgGUA6NLw09EwE0CqkOc4q9oUmW1yo/edit?usp=sharing"",""ลำปาง!I427"")"),0)</f>
        <v>0</v>
      </c>
      <c r="J532" s="466">
        <f ca="1">IFERROR(__xludf.DUMMYFUNCTION("IMPORTRANGE(""https://docs.google.com/spreadsheets/d/11923uPwbBZFjjGgGUA6NLw09EwE0CqkOc4q9oUmW1yo/edit?usp=sharing"",""ลำปาง!J427"")"),0)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IFERROR(__xludf.DUMMYFUNCTION("IMPORTRANGE(""https://docs.google.com/spreadsheets/d/11923uPwbBZFjjGgGUA6NLw09EwE0CqkOc4q9oUmW1yo/edit?usp=sharing"",""ลำปาง!I428"")"),22)</f>
        <v>22</v>
      </c>
      <c r="J533" s="409">
        <f ca="1">IFERROR(__xludf.DUMMYFUNCTION("IMPORTRANGE(""https://docs.google.com/spreadsheets/d/11923uPwbBZFjjGgGUA6NLw09EwE0CqkOc4q9oUmW1yo/edit?usp=sharing"",""ลำปาง!J428"")"),22)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IFERROR(__xludf.DUMMYFUNCTION("IMPORTRANGE(""https://docs.google.com/spreadsheets/d/11923uPwbBZFjjGgGUA6NLw09EwE0CqkOc4q9oUmW1yo/edit?usp=sharing"",""ลำปาง!L428"")"),34340)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IFERROR(__xludf.DUMMYFUNCTION("IMPORTRANGE(""https://docs.google.com/spreadsheets/d/11923uPwbBZFjjGgGUA6NLw09EwE0CqkOc4q9oUmW1yo/edit?usp=sharing"",""ลำปาง!M428"")"),28715.2399999999)</f>
        <v>28715.2399999999</v>
      </c>
      <c r="O533" s="411">
        <f t="shared" ref="O533:O537" ca="1" si="118">+IF(L533&gt;0,N533*100/L533,0)</f>
        <v>83.620384391380014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IFERROR(__xludf.DUMMYFUNCTION("IMPORTRANGE(""https://docs.google.com/spreadsheets/d/11923uPwbBZFjjGgGUA6NLw09EwE0CqkOc4q9oUmW1yo/edit?usp=sharing"",""ลำปาง!L429"")"),0)</f>
        <v>0</v>
      </c>
      <c r="M534" s="164"/>
      <c r="N534" s="168">
        <f ca="1">IFERROR(__xludf.DUMMYFUNCTION("IMPORTRANGE(""https://docs.google.com/spreadsheets/d/11923uPwbBZFjjGgGUA6NLw09EwE0CqkOc4q9oUmW1yo/edit?usp=sharing"",""ลำปาง!M429"")"),0)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IFERROR(__xludf.DUMMYFUNCTION("IMPORTRANGE(""https://docs.google.com/spreadsheets/d/11923uPwbBZFjjGgGUA6NLw09EwE0CqkOc4q9oUmW1yo/edit?usp=sharing"",""ลำปาง!L430"")"),34340)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IFERROR(__xludf.DUMMYFUNCTION("IMPORTRANGE(""https://docs.google.com/spreadsheets/d/11923uPwbBZFjjGgGUA6NLw09EwE0CqkOc4q9oUmW1yo/edit?usp=sharing"",""ลำปาง!M430"")"),28715.2399999999)</f>
        <v>28715.2399999999</v>
      </c>
      <c r="O535" s="168">
        <f t="shared" ca="1" si="118"/>
        <v>83.620384391380014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IFERROR(__xludf.DUMMYFUNCTION("IMPORTRANGE(""https://docs.google.com/spreadsheets/d/11923uPwbBZFjjGgGUA6NLw09EwE0CqkOc4q9oUmW1yo/edit?usp=sharing"",""ลำปาง!L431"")"),0)</f>
        <v>0</v>
      </c>
      <c r="M536" s="168"/>
      <c r="N536" s="168">
        <f ca="1">IFERROR(__xludf.DUMMYFUNCTION("IMPORTRANGE(""https://docs.google.com/spreadsheets/d/11923uPwbBZFjjGgGUA6NLw09EwE0CqkOc4q9oUmW1yo/edit?usp=sharing"",""ลำปาง!M431"")"),0)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IFERROR(__xludf.DUMMYFUNCTION("IMPORTRANGE(""https://docs.google.com/spreadsheets/d/11923uPwbBZFjjGgGUA6NLw09EwE0CqkOc4q9oUmW1yo/edit?usp=sharing"",""ลำปาง!L432"")"),34340)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IFERROR(__xludf.DUMMYFUNCTION("IMPORTRANGE(""https://docs.google.com/spreadsheets/d/11923uPwbBZFjjGgGUA6NLw09EwE0CqkOc4q9oUmW1yo/edit?usp=sharing"",""ลำปาง!M432"")"),28715.2399999999)</f>
        <v>28715.2399999999</v>
      </c>
      <c r="O537" s="168">
        <f t="shared" ca="1" si="118"/>
        <v>83.620384391380014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IFERROR(__xludf.DUMMYFUNCTION("IMPORTRANGE(""https://docs.google.com/spreadsheets/d/11923uPwbBZFjjGgGUA6NLw09EwE0CqkOc4q9oUmW1yo/edit?usp=sharing"",""ลำปาง!M433"")"),18740)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IFERROR(__xludf.DUMMYFUNCTION("IMPORTRANGE(""https://docs.google.com/spreadsheets/d/11923uPwbBZFjjGgGUA6NLw09EwE0CqkOc4q9oUmW1yo/edit?usp=sharing"",""ลำปาง!M434"")"),0)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IFERROR(__xludf.DUMMYFUNCTION("IMPORTRANGE(""https://docs.google.com/spreadsheets/d/11923uPwbBZFjjGgGUA6NLw09EwE0CqkOc4q9oUmW1yo/edit?usp=sharing"",""ลำปาง!M435"")"),0)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IFERROR(__xludf.DUMMYFUNCTION("IMPORTRANGE(""https://docs.google.com/spreadsheets/d/11923uPwbBZFjjGgGUA6NLw09EwE0CqkOc4q9oUmW1yo/edit?usp=sharing"",""ลำปาง!M436"")"),9975.24)</f>
        <v>9975.24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IFERROR(__xludf.DUMMYFUNCTION("IMPORTRANGE(""https://docs.google.com/spreadsheets/d/11923uPwbBZFjjGgGUA6NLw09EwE0CqkOc4q9oUmW1yo/edit?usp=sharing"",""ลำปาง!J438"")"),0)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IFERROR(__xludf.DUMMYFUNCTION("IMPORTRANGE(""https://docs.google.com/spreadsheets/d/11923uPwbBZFjjGgGUA6NLw09EwE0CqkOc4q9oUmW1yo/edit?usp=sharing"",""ลำปาง!J439"")"),1)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IFERROR(__xludf.DUMMYFUNCTION("IMPORTRANGE(""https://docs.google.com/spreadsheets/d/11923uPwbBZFjjGgGUA6NLw09EwE0CqkOc4q9oUmW1yo/edit?usp=sharing"",""ลำปาง!J440"")"),1)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IFERROR(__xludf.DUMMYFUNCTION("IMPORTRANGE(""https://docs.google.com/spreadsheets/d/11923uPwbBZFjjGgGUA6NLw09EwE0CqkOc4q9oUmW1yo/edit?usp=sharing"",""ลำปาง!J441"")"),1)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IFERROR(__xludf.DUMMYFUNCTION("IMPORTRANGE(""https://docs.google.com/spreadsheets/d/11923uPwbBZFjjGgGUA6NLw09EwE0CqkOc4q9oUmW1yo/edit?usp=sharing"",""ลำปาง!I442"")"),22)</f>
        <v>22</v>
      </c>
      <c r="J547" s="188">
        <f ca="1">IFERROR(__xludf.DUMMYFUNCTION("IMPORTRANGE(""https://docs.google.com/spreadsheets/d/11923uPwbBZFjjGgGUA6NLw09EwE0CqkOc4q9oUmW1yo/edit?usp=sharing"",""ลำปาง!J442"")"),22)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IFERROR(__xludf.DUMMYFUNCTION("IMPORTRANGE(""https://docs.google.com/spreadsheets/d/11923uPwbBZFjjGgGUA6NLw09EwE0CqkOc4q9oUmW1yo/edit?usp=sharing"",""ลำปาง!J166"")"),0)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IFERROR(__xludf.DUMMYFUNCTION("IMPORTRANGE(""https://docs.google.com/spreadsheets/d/11923uPwbBZFjjGgGUA6NLw09EwE0CqkOc4q9oUmW1yo/edit?usp=sharing"",""ลำปาง!J444"")"),1)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IFERROR(__xludf.DUMMYFUNCTION("IMPORTRANGE(""https://docs.google.com/spreadsheets/d/11923uPwbBZFjjGgGUA6NLw09EwE0CqkOc4q9oUmW1yo/edit?usp=sharing"",""ลำปาง!J445"")"),0)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IFERROR(__xludf.DUMMYFUNCTION("IMPORTRANGE(""https://docs.google.com/spreadsheets/d/11923uPwbBZFjjGgGUA6NLw09EwE0CqkOc4q9oUmW1yo/edit?usp=sharing"",""ลำปาง!I446"")"),3000)</f>
        <v>3000</v>
      </c>
      <c r="J551" s="409">
        <f ca="1">IFERROR(__xludf.DUMMYFUNCTION("IMPORTRANGE(""https://docs.google.com/spreadsheets/d/11923uPwbBZFjjGgGUA6NLw09EwE0CqkOc4q9oUmW1yo/edit?usp=sharing"",""ลำปาง!J446"")"),2404)</f>
        <v>2404</v>
      </c>
      <c r="K551" s="410">
        <f ca="1">IF(I551&gt;0,J551*100/I551,0)</f>
        <v>80.13333333333334</v>
      </c>
      <c r="L551" s="411">
        <f ca="1">IFERROR(__xludf.DUMMYFUNCTION("IMPORTRANGE(""https://docs.google.com/spreadsheets/d/11923uPwbBZFjjGgGUA6NLw09EwE0CqkOc4q9oUmW1yo/edit?usp=sharing"",""ลำปาง!L446"")"),188000)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IFERROR(__xludf.DUMMYFUNCTION("IMPORTRANGE(""https://docs.google.com/spreadsheets/d/11923uPwbBZFjjGgGUA6NLw09EwE0CqkOc4q9oUmW1yo/edit?usp=sharing"",""ลำปาง!M446"")"),81968.14)</f>
        <v>81968.14</v>
      </c>
      <c r="O551" s="411">
        <f t="shared" ref="O551:O555" ca="1" si="120">+IF(L551&gt;0,N551*100/L551,0)</f>
        <v>43.600074468085104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IFERROR(__xludf.DUMMYFUNCTION("IMPORTRANGE(""https://docs.google.com/spreadsheets/d/11923uPwbBZFjjGgGUA6NLw09EwE0CqkOc4q9oUmW1yo/edit?usp=sharing"",""ลำปาง!L447"")"),0)</f>
        <v>0</v>
      </c>
      <c r="M552" s="164"/>
      <c r="N552" s="168">
        <f ca="1">IFERROR(__xludf.DUMMYFUNCTION("IMPORTRANGE(""https://docs.google.com/spreadsheets/d/11923uPwbBZFjjGgGUA6NLw09EwE0CqkOc4q9oUmW1yo/edit?usp=sharing"",""ลำปาง!M447"")"),0)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IFERROR(__xludf.DUMMYFUNCTION("IMPORTRANGE(""https://docs.google.com/spreadsheets/d/11923uPwbBZFjjGgGUA6NLw09EwE0CqkOc4q9oUmW1yo/edit?usp=sharing"",""ลำปาง!L448"")"),188000)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IFERROR(__xludf.DUMMYFUNCTION("IMPORTRANGE(""https://docs.google.com/spreadsheets/d/11923uPwbBZFjjGgGUA6NLw09EwE0CqkOc4q9oUmW1yo/edit?usp=sharing"",""ลำปาง!M448"")"),81968.14)</f>
        <v>81968.14</v>
      </c>
      <c r="O553" s="168">
        <f t="shared" ca="1" si="120"/>
        <v>43.600074468085104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IFERROR(__xludf.DUMMYFUNCTION("IMPORTRANGE(""https://docs.google.com/spreadsheets/d/11923uPwbBZFjjGgGUA6NLw09EwE0CqkOc4q9oUmW1yo/edit?usp=sharing"",""ลำปาง!L449"")"),0)</f>
        <v>0</v>
      </c>
      <c r="M554" s="168"/>
      <c r="N554" s="168">
        <f ca="1">IFERROR(__xludf.DUMMYFUNCTION("IMPORTRANGE(""https://docs.google.com/spreadsheets/d/11923uPwbBZFjjGgGUA6NLw09EwE0CqkOc4q9oUmW1yo/edit?usp=sharing"",""ลำปาง!M449"")"),0)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IFERROR(__xludf.DUMMYFUNCTION("IMPORTRANGE(""https://docs.google.com/spreadsheets/d/11923uPwbBZFjjGgGUA6NLw09EwE0CqkOc4q9oUmW1yo/edit?usp=sharing"",""ลำปาง!L450"")"),188000)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IFERROR(__xludf.DUMMYFUNCTION("IMPORTRANGE(""https://docs.google.com/spreadsheets/d/11923uPwbBZFjjGgGUA6NLw09EwE0CqkOc4q9oUmW1yo/edit?usp=sharing"",""ลำปาง!M450"")"),81968.14)</f>
        <v>81968.14</v>
      </c>
      <c r="O555" s="168">
        <f t="shared" ca="1" si="120"/>
        <v>43.600074468085104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IFERROR(__xludf.DUMMYFUNCTION("IMPORTRANGE(""https://docs.google.com/spreadsheets/d/11923uPwbBZFjjGgGUA6NLw09EwE0CqkOc4q9oUmW1yo/edit?usp=sharing"",""ลำปาง!M451"")"),0)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IFERROR(__xludf.DUMMYFUNCTION("IMPORTRANGE(""https://docs.google.com/spreadsheets/d/11923uPwbBZFjjGgGUA6NLw09EwE0CqkOc4q9oUmW1yo/edit?usp=sharing"",""ลำปาง!M452"")"),0)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IFERROR(__xludf.DUMMYFUNCTION("IMPORTRANGE(""https://docs.google.com/spreadsheets/d/11923uPwbBZFjjGgGUA6NLw09EwE0CqkOc4q9oUmW1yo/edit?usp=sharing"",""ลำปาง!M453"")"),28035)</f>
        <v>28035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IFERROR(__xludf.DUMMYFUNCTION("IMPORTRANGE(""https://docs.google.com/spreadsheets/d/11923uPwbBZFjjGgGUA6NLw09EwE0CqkOc4q9oUmW1yo/edit?usp=sharing"",""ลำปาง!M454"")"),53933.14)</f>
        <v>53933.14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IFERROR(__xludf.DUMMYFUNCTION("IMPORTRANGE(""https://docs.google.com/spreadsheets/d/11923uPwbBZFjjGgGUA6NLw09EwE0CqkOc4q9oUmW1yo/edit?usp=sharing"",""ลำปาง!I455"")"),3000)</f>
        <v>3000</v>
      </c>
      <c r="J560" s="162">
        <f ca="1">IFERROR(__xludf.DUMMYFUNCTION("IMPORTRANGE(""https://docs.google.com/spreadsheets/d/11923uPwbBZFjjGgGUA6NLw09EwE0CqkOc4q9oUmW1yo/edit?usp=sharing"",""ลำปาง!J455"")"),2404)</f>
        <v>2404</v>
      </c>
      <c r="K560" s="224">
        <f t="shared" ref="K560:K561" ca="1" si="121">IF(I560&gt;0,J560*100/I560,0)</f>
        <v>80.13333333333334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IFERROR(__xludf.DUMMYFUNCTION("IMPORTRANGE(""https://docs.google.com/spreadsheets/d/11923uPwbBZFjjGgGUA6NLw09EwE0CqkOc4q9oUmW1yo/edit?usp=sharing"",""ลำปาง!I456"")"),0)</f>
        <v>0</v>
      </c>
      <c r="J561" s="203">
        <f ca="1">IFERROR(__xludf.DUMMYFUNCTION("IMPORTRANGE(""https://docs.google.com/spreadsheets/d/11923uPwbBZFjjGgGUA6NLw09EwE0CqkOc4q9oUmW1yo/edit?usp=sharing"",""ลำปาง!J456"")"),286)</f>
        <v>286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IFERROR(__xludf.DUMMYFUNCTION("IMPORTRANGE(""https://docs.google.com/spreadsheets/d/11923uPwbBZFjjGgGUA6NLw09EwE0CqkOc4q9oUmW1yo/edit?usp=sharing"",""ลำปาง!I459"")"),1800)</f>
        <v>1800</v>
      </c>
      <c r="J564" s="370">
        <f ca="1">IFERROR(__xludf.DUMMYFUNCTION("IMPORTRANGE(""https://docs.google.com/spreadsheets/d/11923uPwbBZFjjGgGUA6NLw09EwE0CqkOc4q9oUmW1yo/edit?usp=sharing"",""ลำปาง!J459"")"),1904)</f>
        <v>1904</v>
      </c>
      <c r="K564" s="371">
        <f ca="1">IF(I564&gt;0,J564*100/I564,0)</f>
        <v>105.77777777777777</v>
      </c>
      <c r="L564" s="372">
        <f ca="1">IFERROR(__xludf.DUMMYFUNCTION("IMPORTRANGE(""https://docs.google.com/spreadsheets/d/11923uPwbBZFjjGgGUA6NLw09EwE0CqkOc4q9oUmW1yo/edit?usp=sharing"",""ลำปาง!L459"")"),145040)</f>
        <v>145040</v>
      </c>
      <c r="M564" s="372"/>
      <c r="N564" s="372">
        <f ca="1">IFERROR(__xludf.DUMMYFUNCTION("IMPORTRANGE(""https://docs.google.com/spreadsheets/d/11923uPwbBZFjjGgGUA6NLw09EwE0CqkOc4q9oUmW1yo/edit?usp=sharing"",""ลำปาง!M459"")"),71786.68)</f>
        <v>71786.679999999993</v>
      </c>
      <c r="O564" s="372">
        <f t="shared" ref="O564:O568" ca="1" si="122">+IF(L564&gt;0,N564*100/L564,0)</f>
        <v>49.494401544401541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IFERROR(__xludf.DUMMYFUNCTION("IMPORTRANGE(""https://docs.google.com/spreadsheets/d/11923uPwbBZFjjGgGUA6NLw09EwE0CqkOc4q9oUmW1yo/edit?usp=sharing"",""ลำปาง!L460"")"),0)</f>
        <v>0</v>
      </c>
      <c r="M565" s="164"/>
      <c r="N565" s="168">
        <f ca="1">IFERROR(__xludf.DUMMYFUNCTION("IMPORTRANGE(""https://docs.google.com/spreadsheets/d/11923uPwbBZFjjGgGUA6NLw09EwE0CqkOc4q9oUmW1yo/edit?usp=sharing"",""ลำปาง!M460"")"),0)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IFERROR(__xludf.DUMMYFUNCTION("IMPORTRANGE(""https://docs.google.com/spreadsheets/d/11923uPwbBZFjjGgGUA6NLw09EwE0CqkOc4q9oUmW1yo/edit?usp=sharing"",""ลำปาง!L461"")"),145040)</f>
        <v>145040</v>
      </c>
      <c r="M566" s="165"/>
      <c r="N566" s="168">
        <f ca="1">IFERROR(__xludf.DUMMYFUNCTION("IMPORTRANGE(""https://docs.google.com/spreadsheets/d/11923uPwbBZFjjGgGUA6NLw09EwE0CqkOc4q9oUmW1yo/edit?usp=sharing"",""ลำปาง!M461"")"),71786.68)</f>
        <v>71786.679999999993</v>
      </c>
      <c r="O566" s="168">
        <f t="shared" ca="1" si="122"/>
        <v>49.494401544401541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IFERROR(__xludf.DUMMYFUNCTION("IMPORTRANGE(""https://docs.google.com/spreadsheets/d/11923uPwbBZFjjGgGUA6NLw09EwE0CqkOc4q9oUmW1yo/edit?usp=sharing"",""ลำปาง!L462"")"),0)</f>
        <v>0</v>
      </c>
      <c r="M567" s="168"/>
      <c r="N567" s="168">
        <f ca="1">IFERROR(__xludf.DUMMYFUNCTION("IMPORTRANGE(""https://docs.google.com/spreadsheets/d/11923uPwbBZFjjGgGUA6NLw09EwE0CqkOc4q9oUmW1yo/edit?usp=sharing"",""ลำปาง!M462"")"),0)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IFERROR(__xludf.DUMMYFUNCTION("IMPORTRANGE(""https://docs.google.com/spreadsheets/d/11923uPwbBZFjjGgGUA6NLw09EwE0CqkOc4q9oUmW1yo/edit?usp=sharing"",""ลำปาง!L463"")"),145040)</f>
        <v>145040</v>
      </c>
      <c r="M568" s="168"/>
      <c r="N568" s="168">
        <f ca="1">IFERROR(__xludf.DUMMYFUNCTION("IMPORTRANGE(""https://docs.google.com/spreadsheets/d/11923uPwbBZFjjGgGUA6NLw09EwE0CqkOc4q9oUmW1yo/edit?usp=sharing"",""ลำปาง!M463"")"),71786.68)</f>
        <v>71786.679999999993</v>
      </c>
      <c r="O568" s="168">
        <f t="shared" ca="1" si="122"/>
        <v>49.494401544401541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IFERROR(__xludf.DUMMYFUNCTION("IMPORTRANGE(""https://docs.google.com/spreadsheets/d/11923uPwbBZFjjGgGUA6NLw09EwE0CqkOc4q9oUmW1yo/edit?usp=sharing"",""ลำปาง!M464"")"),0)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IFERROR(__xludf.DUMMYFUNCTION("IMPORTRANGE(""https://docs.google.com/spreadsheets/d/11923uPwbBZFjjGgGUA6NLw09EwE0CqkOc4q9oUmW1yo/edit?usp=sharing"",""ลำปาง!M465"")"),0)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IFERROR(__xludf.DUMMYFUNCTION("IMPORTRANGE(""https://docs.google.com/spreadsheets/d/11923uPwbBZFjjGgGUA6NLw09EwE0CqkOc4q9oUmW1yo/edit?usp=sharing"",""ลำปาง!M466"")"),43266.68)</f>
        <v>43266.68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IFERROR(__xludf.DUMMYFUNCTION("IMPORTRANGE(""https://docs.google.com/spreadsheets/d/11923uPwbBZFjjGgGUA6NLw09EwE0CqkOc4q9oUmW1yo/edit?usp=sharing"",""ลำปาง!M467"")"),28520)</f>
        <v>28520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IFERROR(__xludf.DUMMYFUNCTION("IMPORTRANGE(""https://docs.google.com/spreadsheets/d/11923uPwbBZFjjGgGUA6NLw09EwE0CqkOc4q9oUmW1yo/edit?usp=sharing"",""ลำปาง!I468"")"),1800)</f>
        <v>1800</v>
      </c>
      <c r="J573" s="420">
        <f ca="1">IFERROR(__xludf.DUMMYFUNCTION("IMPORTRANGE(""https://docs.google.com/spreadsheets/d/11923uPwbBZFjjGgGUA6NLw09EwE0CqkOc4q9oUmW1yo/edit?usp=sharing"",""ลำปาง!J468"")"),1904)</f>
        <v>1904</v>
      </c>
      <c r="K573" s="201">
        <f ca="1">IF(I573&gt;0,J573*100/I573,0)</f>
        <v>105.77777777777777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IFERROR(__xludf.DUMMYFUNCTION("IMPORTRANGE(""https://docs.google.com/spreadsheets/d/11923uPwbBZFjjGgGUA6NLw09EwE0CqkOc4q9oUmW1yo/edit?usp=sharing"",""ลำปาง!I470"")"),0)</f>
        <v>0</v>
      </c>
      <c r="J575" s="197">
        <f ca="1">IFERROR(__xludf.DUMMYFUNCTION("IMPORTRANGE(""https://docs.google.com/spreadsheets/d/11923uPwbBZFjjGgGUA6NLw09EwE0CqkOc4q9oUmW1yo/edit?usp=sharing"",""ลำปาง!J470"")"),2)</f>
        <v>2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IFERROR(__xludf.DUMMYFUNCTION("IMPORTRANGE(""https://docs.google.com/spreadsheets/d/11923uPwbBZFjjGgGUA6NLw09EwE0CqkOc4q9oUmW1yo/edit?usp=sharing"",""ลำปาง!I471"")"),0)</f>
        <v>0</v>
      </c>
      <c r="J576" s="197">
        <f ca="1">IFERROR(__xludf.DUMMYFUNCTION("IMPORTRANGE(""https://docs.google.com/spreadsheets/d/11923uPwbBZFjjGgGUA6NLw09EwE0CqkOc4q9oUmW1yo/edit?usp=sharing"",""ลำปาง!J471"")"),171)</f>
        <v>171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IFERROR(__xludf.DUMMYFUNCTION("IMPORTRANGE(""https://docs.google.com/spreadsheets/d/11923uPwbBZFjjGgGUA6NLw09EwE0CqkOc4q9oUmW1yo/edit?usp=sharing"",""ลำปาง!I472"")"),0)</f>
        <v>0</v>
      </c>
      <c r="J577" s="188">
        <f ca="1">IFERROR(__xludf.DUMMYFUNCTION("IMPORTRANGE(""https://docs.google.com/spreadsheets/d/11923uPwbBZFjjGgGUA6NLw09EwE0CqkOc4q9oUmW1yo/edit?usp=sharing"",""ลำปาง!J472"")"),1733)</f>
        <v>1733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IFERROR(__xludf.DUMMYFUNCTION("IMPORTRANGE(""https://docs.google.com/spreadsheets/d/11923uPwbBZFjjGgGUA6NLw09EwE0CqkOc4q9oUmW1yo/edit?usp=sharing"",""ลำปาง!I473"")"),0)</f>
        <v>0</v>
      </c>
      <c r="J578" s="197">
        <f ca="1">IFERROR(__xludf.DUMMYFUNCTION("IMPORTRANGE(""https://docs.google.com/spreadsheets/d/11923uPwbBZFjjGgGUA6NLw09EwE0CqkOc4q9oUmW1yo/edit?usp=sharing"",""ลำปาง!J473"")"),0)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IFERROR(__xludf.DUMMYFUNCTION("IMPORTRANGE(""https://docs.google.com/spreadsheets/d/11923uPwbBZFjjGgGUA6NLw09EwE0CqkOc4q9oUmW1yo/edit?usp=sharing"",""ลำปาง!I474"")"),0)</f>
        <v>0</v>
      </c>
      <c r="J579" s="197">
        <f ca="1">IFERROR(__xludf.DUMMYFUNCTION("IMPORTRANGE(""https://docs.google.com/spreadsheets/d/11923uPwbBZFjjGgGUA6NLw09EwE0CqkOc4q9oUmW1yo/edit?usp=sharing"",""ลำปาง!J474"")"),0)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IFERROR(__xludf.DUMMYFUNCTION("IMPORTRANGE(""https://docs.google.com/spreadsheets/d/11923uPwbBZFjjGgGUA6NLw09EwE0CqkOc4q9oUmW1yo/edit?usp=sharing"",""ลำปาง!I475"")"),5)</f>
        <v>5</v>
      </c>
      <c r="J580" s="370">
        <f ca="1">IFERROR(__xludf.DUMMYFUNCTION("IMPORTRANGE(""https://docs.google.com/spreadsheets/d/11923uPwbBZFjjGgGUA6NLw09EwE0CqkOc4q9oUmW1yo/edit?usp=sharing"",""ลำปาง!J475"")"),4)</f>
        <v>4</v>
      </c>
      <c r="K580" s="371">
        <f ca="1">IF(I580&gt;0,J580*100/I580,0)</f>
        <v>80</v>
      </c>
      <c r="L580" s="372">
        <f ca="1">IFERROR(__xludf.DUMMYFUNCTION("IMPORTRANGE(""https://docs.google.com/spreadsheets/d/11923uPwbBZFjjGgGUA6NLw09EwE0CqkOc4q9oUmW1yo/edit?usp=sharing"",""ลำปาง!L475"")"),130655)</f>
        <v>130655</v>
      </c>
      <c r="M580" s="372"/>
      <c r="N580" s="372">
        <f ca="1">IFERROR(__xludf.DUMMYFUNCTION("IMPORTRANGE(""https://docs.google.com/spreadsheets/d/11923uPwbBZFjjGgGUA6NLw09EwE0CqkOc4q9oUmW1yo/edit?usp=sharing"",""ลำปาง!M475"")"),0)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IFERROR(__xludf.DUMMYFUNCTION("IMPORTRANGE(""https://docs.google.com/spreadsheets/d/11923uPwbBZFjjGgGUA6NLw09EwE0CqkOc4q9oUmW1yo/edit?usp=sharing"",""ลำปาง!L476"")"),0)</f>
        <v>0</v>
      </c>
      <c r="M581" s="164"/>
      <c r="N581" s="168">
        <f ca="1">IFERROR(__xludf.DUMMYFUNCTION("IMPORTRANGE(""https://docs.google.com/spreadsheets/d/11923uPwbBZFjjGgGUA6NLw09EwE0CqkOc4q9oUmW1yo/edit?usp=sharing"",""ลำปาง!M476"")"),0)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IFERROR(__xludf.DUMMYFUNCTION("IMPORTRANGE(""https://docs.google.com/spreadsheets/d/11923uPwbBZFjjGgGUA6NLw09EwE0CqkOc4q9oUmW1yo/edit?usp=sharing"",""ลำปาง!L477"")"),130655)</f>
        <v>130655</v>
      </c>
      <c r="M582" s="165"/>
      <c r="N582" s="168">
        <f ca="1">IFERROR(__xludf.DUMMYFUNCTION("IMPORTRANGE(""https://docs.google.com/spreadsheets/d/11923uPwbBZFjjGgGUA6NLw09EwE0CqkOc4q9oUmW1yo/edit?usp=sharing"",""ลำปาง!M477"")"),0)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IFERROR(__xludf.DUMMYFUNCTION("IMPORTRANGE(""https://docs.google.com/spreadsheets/d/11923uPwbBZFjjGgGUA6NLw09EwE0CqkOc4q9oUmW1yo/edit?usp=sharing"",""ลำปาง!L478"")"),0)</f>
        <v>0</v>
      </c>
      <c r="M583" s="168"/>
      <c r="N583" s="168">
        <f ca="1">IFERROR(__xludf.DUMMYFUNCTION("IMPORTRANGE(""https://docs.google.com/spreadsheets/d/11923uPwbBZFjjGgGUA6NLw09EwE0CqkOc4q9oUmW1yo/edit?usp=sharing"",""ลำปาง!M478"")"),0)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IFERROR(__xludf.DUMMYFUNCTION("IMPORTRANGE(""https://docs.google.com/spreadsheets/d/11923uPwbBZFjjGgGUA6NLw09EwE0CqkOc4q9oUmW1yo/edit?usp=sharing"",""ลำปาง!L479"")"),130655)</f>
        <v>130655</v>
      </c>
      <c r="M584" s="168"/>
      <c r="N584" s="168">
        <f ca="1">IFERROR(__xludf.DUMMYFUNCTION("IMPORTRANGE(""https://docs.google.com/spreadsheets/d/11923uPwbBZFjjGgGUA6NLw09EwE0CqkOc4q9oUmW1yo/edit?usp=sharing"",""ลำปาง!M479"")"),0)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IFERROR(__xludf.DUMMYFUNCTION("IMPORTRANGE(""https://docs.google.com/spreadsheets/d/11923uPwbBZFjjGgGUA6NLw09EwE0CqkOc4q9oUmW1yo/edit?usp=sharing"",""ลำปาง!M480"")"),0)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IFERROR(__xludf.DUMMYFUNCTION("IMPORTRANGE(""https://docs.google.com/spreadsheets/d/11923uPwbBZFjjGgGUA6NLw09EwE0CqkOc4q9oUmW1yo/edit?usp=sharing"",""ลำปาง!M481"")"),0)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IFERROR(__xludf.DUMMYFUNCTION("IMPORTRANGE(""https://docs.google.com/spreadsheets/d/11923uPwbBZFjjGgGUA6NLw09EwE0CqkOc4q9oUmW1yo/edit?usp=sharing"",""ลำปาง!M482"")"),0)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IFERROR(__xludf.DUMMYFUNCTION("IMPORTRANGE(""https://docs.google.com/spreadsheets/d/11923uPwbBZFjjGgGUA6NLw09EwE0CqkOc4q9oUmW1yo/edit?usp=sharing"",""ลำปาง!M483"")"),0)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IFERROR(__xludf.DUMMYFUNCTION("IMPORTRANGE(""https://docs.google.com/spreadsheets/d/11923uPwbBZFjjGgGUA6NLw09EwE0CqkOc4q9oUmW1yo/edit?usp=sharing"",""ลำปาง!I484"")"),5)</f>
        <v>5</v>
      </c>
      <c r="J589" s="187">
        <f ca="1">IFERROR(__xludf.DUMMYFUNCTION("IMPORTRANGE(""https://docs.google.com/spreadsheets/d/11923uPwbBZFjjGgGUA6NLw09EwE0CqkOc4q9oUmW1yo/edit?usp=sharing"",""ลำปาง!J484"")"),7)</f>
        <v>7</v>
      </c>
      <c r="K589" s="163">
        <f t="shared" ref="K589:K596" ca="1" si="125">IF(I589&gt;0,J589*100/I589,0)</f>
        <v>140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IFERROR(__xludf.DUMMYFUNCTION("IMPORTRANGE(""https://docs.google.com/spreadsheets/d/11923uPwbBZFjjGgGUA6NLw09EwE0CqkOc4q9oUmW1yo/edit?usp=sharing"",""ลำปาง!I485"")"),0)</f>
        <v>0</v>
      </c>
      <c r="J590" s="187">
        <f ca="1">IFERROR(__xludf.DUMMYFUNCTION("IMPORTRANGE(""https://docs.google.com/spreadsheets/d/11923uPwbBZFjjGgGUA6NLw09EwE0CqkOc4q9oUmW1yo/edit?usp=sharing"",""ลำปาง!J485"")"),4.37)</f>
        <v>4.37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IFERROR(__xludf.DUMMYFUNCTION("IMPORTRANGE(""https://docs.google.com/spreadsheets/d/11923uPwbBZFjjGgGUA6NLw09EwE0CqkOc4q9oUmW1yo/edit?usp=sharing"",""ลำปาง!I486"")"),5)</f>
        <v>5</v>
      </c>
      <c r="J591" s="187">
        <f ca="1">IFERROR(__xludf.DUMMYFUNCTION("IMPORTRANGE(""https://docs.google.com/spreadsheets/d/11923uPwbBZFjjGgGUA6NLw09EwE0CqkOc4q9oUmW1yo/edit?usp=sharing"",""ลำปาง!J486"")"),4)</f>
        <v>4</v>
      </c>
      <c r="K591" s="163">
        <f t="shared" ca="1" si="125"/>
        <v>80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IFERROR(__xludf.DUMMYFUNCTION("IMPORTRANGE(""https://docs.google.com/spreadsheets/d/11923uPwbBZFjjGgGUA6NLw09EwE0CqkOc4q9oUmW1yo/edit?usp=sharing"",""ลำปาง!I487"")"),0)</f>
        <v>0</v>
      </c>
      <c r="J592" s="187">
        <f ca="1">IFERROR(__xludf.DUMMYFUNCTION("IMPORTRANGE(""https://docs.google.com/spreadsheets/d/11923uPwbBZFjjGgGUA6NLw09EwE0CqkOc4q9oUmW1yo/edit?usp=sharing"",""ลำปาง!J487"")"),3.23)</f>
        <v>3.23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IFERROR(__xludf.DUMMYFUNCTION("IMPORTRANGE(""https://docs.google.com/spreadsheets/d/11923uPwbBZFjjGgGUA6NLw09EwE0CqkOc4q9oUmW1yo/edit?usp=sharing"",""ลำปาง!I488"")"),5)</f>
        <v>5</v>
      </c>
      <c r="J593" s="187">
        <f ca="1">IFERROR(__xludf.DUMMYFUNCTION("IMPORTRANGE(""https://docs.google.com/spreadsheets/d/11923uPwbBZFjjGgGUA6NLw09EwE0CqkOc4q9oUmW1yo/edit?usp=sharing"",""ลำปาง!J488"")"),0)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IFERROR(__xludf.DUMMYFUNCTION("IMPORTRANGE(""https://docs.google.com/spreadsheets/d/11923uPwbBZFjjGgGUA6NLw09EwE0CqkOc4q9oUmW1yo/edit?usp=sharing"",""ลำปาง!I489"")"),0)</f>
        <v>0</v>
      </c>
      <c r="J594" s="187">
        <f ca="1">IFERROR(__xludf.DUMMYFUNCTION("IMPORTRANGE(""https://docs.google.com/spreadsheets/d/11923uPwbBZFjjGgGUA6NLw09EwE0CqkOc4q9oUmW1yo/edit?usp=sharing"",""ลำปาง!J489"")"),0)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IFERROR(__xludf.DUMMYFUNCTION("IMPORTRANGE(""https://docs.google.com/spreadsheets/d/11923uPwbBZFjjGgGUA6NLw09EwE0CqkOc4q9oUmW1yo/edit?usp=sharing"",""ลำปาง!I490"")"),5)</f>
        <v>5</v>
      </c>
      <c r="J595" s="187">
        <f ca="1">IFERROR(__xludf.DUMMYFUNCTION("IMPORTRANGE(""https://docs.google.com/spreadsheets/d/11923uPwbBZFjjGgGUA6NLw09EwE0CqkOc4q9oUmW1yo/edit?usp=sharing"",""ลำปาง!J490"")"),4)</f>
        <v>4</v>
      </c>
      <c r="K595" s="163">
        <f t="shared" ca="1" si="125"/>
        <v>80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IFERROR(__xludf.DUMMYFUNCTION("IMPORTRANGE(""https://docs.google.com/spreadsheets/d/11923uPwbBZFjjGgGUA6NLw09EwE0CqkOc4q9oUmW1yo/edit?usp=sharing"",""ลำปาง!I491"")"),0)</f>
        <v>0</v>
      </c>
      <c r="J596" s="241">
        <f ca="1">IFERROR(__xludf.DUMMYFUNCTION("IMPORTRANGE(""https://docs.google.com/spreadsheets/d/11923uPwbBZFjjGgGUA6NLw09EwE0CqkOc4q9oUmW1yo/edit?usp=sharing"",""ลำปาง!J491"")"),3.23)</f>
        <v>3.23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IFERROR(__xludf.DUMMYFUNCTION("IMPORTRANGE(""https://docs.google.com/spreadsheets/d/11923uPwbBZFjjGgGUA6NLw09EwE0CqkOc4q9oUmW1yo/edit?usp=sharing"",""ลำปาง!I492"")"),100)</f>
        <v>100</v>
      </c>
      <c r="J597" s="487">
        <f ca="1">IFERROR(__xludf.DUMMYFUNCTION("IMPORTRANGE(""https://docs.google.com/spreadsheets/d/11923uPwbBZFjjGgGUA6NLw09EwE0CqkOc4q9oUmW1yo/edit?usp=sharing"",""ลำปาง!J492"")"),0)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IFERROR(__xludf.DUMMYFUNCTION("IMPORTRANGE(""https://docs.google.com/spreadsheets/d/11923uPwbBZFjjGgGUA6NLw09EwE0CqkOc4q9oUmW1yo/edit?usp=sharing"",""ลำปาง!L492"")"),8900)</f>
        <v>8900</v>
      </c>
      <c r="M597" s="411"/>
      <c r="N597" s="411">
        <f ca="1">IFERROR(__xludf.DUMMYFUNCTION("IMPORTRANGE(""https://docs.google.com/spreadsheets/d/11923uPwbBZFjjGgGUA6NLw09EwE0CqkOc4q9oUmW1yo/edit?usp=sharing"",""ลำปาง!M492"")"),3400)</f>
        <v>3400</v>
      </c>
      <c r="O597" s="411">
        <f t="shared" ref="O597:O601" ca="1" si="126">+IF(L597&gt;0,N597*100/L597,0)</f>
        <v>38.202247191011239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IFERROR(__xludf.DUMMYFUNCTION("IMPORTRANGE(""https://docs.google.com/spreadsheets/d/11923uPwbBZFjjGgGUA6NLw09EwE0CqkOc4q9oUmW1yo/edit?usp=sharing"",""ลำปาง!L493"")"),0)</f>
        <v>0</v>
      </c>
      <c r="M598" s="164"/>
      <c r="N598" s="168">
        <f ca="1">IFERROR(__xludf.DUMMYFUNCTION("IMPORTRANGE(""https://docs.google.com/spreadsheets/d/11923uPwbBZFjjGgGUA6NLw09EwE0CqkOc4q9oUmW1yo/edit?usp=sharing"",""ลำปาง!M493"")"),0)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IFERROR(__xludf.DUMMYFUNCTION("IMPORTRANGE(""https://docs.google.com/spreadsheets/d/11923uPwbBZFjjGgGUA6NLw09EwE0CqkOc4q9oUmW1yo/edit?usp=sharing"",""ลำปาง!L494"")"),8900)</f>
        <v>8900</v>
      </c>
      <c r="M599" s="165"/>
      <c r="N599" s="168">
        <f ca="1">IFERROR(__xludf.DUMMYFUNCTION("IMPORTRANGE(""https://docs.google.com/spreadsheets/d/11923uPwbBZFjjGgGUA6NLw09EwE0CqkOc4q9oUmW1yo/edit?usp=sharing"",""ลำปาง!M494"")"),3400)</f>
        <v>3400</v>
      </c>
      <c r="O599" s="168">
        <f t="shared" ca="1" si="126"/>
        <v>38.202247191011239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IFERROR(__xludf.DUMMYFUNCTION("IMPORTRANGE(""https://docs.google.com/spreadsheets/d/11923uPwbBZFjjGgGUA6NLw09EwE0CqkOc4q9oUmW1yo/edit?usp=sharing"",""ลำปาง!L495"")"),0)</f>
        <v>0</v>
      </c>
      <c r="M600" s="168"/>
      <c r="N600" s="168">
        <f ca="1">IFERROR(__xludf.DUMMYFUNCTION("IMPORTRANGE(""https://docs.google.com/spreadsheets/d/11923uPwbBZFjjGgGUA6NLw09EwE0CqkOc4q9oUmW1yo/edit?usp=sharing"",""ลำปาง!M495"")"),0)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IFERROR(__xludf.DUMMYFUNCTION("IMPORTRANGE(""https://docs.google.com/spreadsheets/d/11923uPwbBZFjjGgGUA6NLw09EwE0CqkOc4q9oUmW1yo/edit?usp=sharing"",""ลำปาง!L496"")"),8900)</f>
        <v>8900</v>
      </c>
      <c r="M601" s="168"/>
      <c r="N601" s="168">
        <f ca="1">IFERROR(__xludf.DUMMYFUNCTION("IMPORTRANGE(""https://docs.google.com/spreadsheets/d/11923uPwbBZFjjGgGUA6NLw09EwE0CqkOc4q9oUmW1yo/edit?usp=sharing"",""ลำปาง!M496"")"),3400)</f>
        <v>3400</v>
      </c>
      <c r="O601" s="168">
        <f t="shared" ca="1" si="126"/>
        <v>38.202247191011239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IFERROR(__xludf.DUMMYFUNCTION("IMPORTRANGE(""https://docs.google.com/spreadsheets/d/11923uPwbBZFjjGgGUA6NLw09EwE0CqkOc4q9oUmW1yo/edit?usp=sharing"",""ลำปาง!M497"")"),0)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IFERROR(__xludf.DUMMYFUNCTION("IMPORTRANGE(""https://docs.google.com/spreadsheets/d/11923uPwbBZFjjGgGUA6NLw09EwE0CqkOc4q9oUmW1yo/edit?usp=sharing"",""ลำปาง!M498"")"),0)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IFERROR(__xludf.DUMMYFUNCTION("IMPORTRANGE(""https://docs.google.com/spreadsheets/d/11923uPwbBZFjjGgGUA6NLw09EwE0CqkOc4q9oUmW1yo/edit?usp=sharing"",""ลำปาง!M499"")"),0)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IFERROR(__xludf.DUMMYFUNCTION("IMPORTRANGE(""https://docs.google.com/spreadsheets/d/11923uPwbBZFjjGgGUA6NLw09EwE0CqkOc4q9oUmW1yo/edit?usp=sharing"",""ลำปาง!M500"")"),3400)</f>
        <v>3400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IFERROR(__xludf.DUMMYFUNCTION("IMPORTRANGE(""https://docs.google.com/spreadsheets/d/11923uPwbBZFjjGgGUA6NLw09EwE0CqkOc4q9oUmW1yo/edit?usp=sharing"",""ลำปาง!J502"")"),0)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IFERROR(__xludf.DUMMYFUNCTION("IMPORTRANGE(""https://docs.google.com/spreadsheets/d/11923uPwbBZFjjGgGUA6NLw09EwE0CqkOc4q9oUmW1yo/edit?usp=sharing"",""ลำปาง!J503"")"),1)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IFERROR(__xludf.DUMMYFUNCTION("IMPORTRANGE(""https://docs.google.com/spreadsheets/d/11923uPwbBZFjjGgGUA6NLw09EwE0CqkOc4q9oUmW1yo/edit?usp=sharing"",""ลำปาง!J166"")"),0)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IFERROR(__xludf.DUMMYFUNCTION("IMPORTRANGE(""https://docs.google.com/spreadsheets/d/11923uPwbBZFjjGgGUA6NLw09EwE0CqkOc4q9oUmW1yo/edit?usp=sharing"",""ลำปาง!J166"")"),0)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IFERROR(__xludf.DUMMYFUNCTION("IMPORTRANGE(""https://docs.google.com/spreadsheets/d/11923uPwbBZFjjGgGUA6NLw09EwE0CqkOc4q9oUmW1yo/edit?usp=sharing"",""ลำปาง!I506"")"),100)</f>
        <v>100</v>
      </c>
      <c r="J611" s="162">
        <f ca="1">IFERROR(__xludf.DUMMYFUNCTION("IMPORTRANGE(""https://docs.google.com/spreadsheets/d/11923uPwbBZFjjGgGUA6NLw09EwE0CqkOc4q9oUmW1yo/edit?usp=sharing"",""ลำปาง!J506"")"),0)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IFERROR(__xludf.DUMMYFUNCTION("IMPORTRANGE(""https://docs.google.com/spreadsheets/d/11923uPwbBZFjjGgGUA6NLw09EwE0CqkOc4q9oUmW1yo/edit?usp=sharing"",""ลำปาง!I507"")"),0)</f>
        <v>0</v>
      </c>
      <c r="J612" s="197">
        <f ca="1">IFERROR(__xludf.DUMMYFUNCTION("IMPORTRANGE(""https://docs.google.com/spreadsheets/d/11923uPwbBZFjjGgGUA6NLw09EwE0CqkOc4q9oUmW1yo/edit?usp=sharing"",""ลำปาง!J507"")"),0)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IFERROR(__xludf.DUMMYFUNCTION("IMPORTRANGE(""https://docs.google.com/spreadsheets/d/11923uPwbBZFjjGgGUA6NLw09EwE0CqkOc4q9oUmW1yo/edit?usp=sharing"",""ลำปาง!I508"")"),0)</f>
        <v>0</v>
      </c>
      <c r="J613" s="197">
        <f ca="1">IFERROR(__xludf.DUMMYFUNCTION("IMPORTRANGE(""https://docs.google.com/spreadsheets/d/11923uPwbBZFjjGgGUA6NLw09EwE0CqkOc4q9oUmW1yo/edit?usp=sharing"",""ลำปาง!J508"")"),0)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IFERROR(__xludf.DUMMYFUNCTION("IMPORTRANGE(""https://docs.google.com/spreadsheets/d/11923uPwbBZFjjGgGUA6NLw09EwE0CqkOc4q9oUmW1yo/edit?usp=sharing"",""ลำปาง!I509"")"),0)</f>
        <v>0</v>
      </c>
      <c r="J614" s="197">
        <f ca="1">IFERROR(__xludf.DUMMYFUNCTION("IMPORTRANGE(""https://docs.google.com/spreadsheets/d/11923uPwbBZFjjGgGUA6NLw09EwE0CqkOc4q9oUmW1yo/edit?usp=sharing"",""ลำปาง!J509"")"),0)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IFERROR(__xludf.DUMMYFUNCTION("IMPORTRANGE(""https://docs.google.com/spreadsheets/d/11923uPwbBZFjjGgGUA6NLw09EwE0CqkOc4q9oUmW1yo/edit?usp=sharing"",""ลำปาง!I510"")"),0)</f>
        <v>0</v>
      </c>
      <c r="J615" s="197">
        <f ca="1">IFERROR(__xludf.DUMMYFUNCTION("IMPORTRANGE(""https://docs.google.com/spreadsheets/d/11923uPwbBZFjjGgGUA6NLw09EwE0CqkOc4q9oUmW1yo/edit?usp=sharing"",""ลำปาง!J510"")"),0)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IFERROR(__xludf.DUMMYFUNCTION("IMPORTRANGE(""https://docs.google.com/spreadsheets/d/11923uPwbBZFjjGgGUA6NLw09EwE0CqkOc4q9oUmW1yo/edit?usp=sharing"",""ลำปาง!I511"")"),0)</f>
        <v>0</v>
      </c>
      <c r="J616" s="197">
        <f ca="1">IFERROR(__xludf.DUMMYFUNCTION("IMPORTRANGE(""https://docs.google.com/spreadsheets/d/11923uPwbBZFjjGgGUA6NLw09EwE0CqkOc4q9oUmW1yo/edit?usp=sharing"",""ลำปาง!J511"")"),0)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IFERROR(__xludf.DUMMYFUNCTION("IMPORTRANGE(""https://docs.google.com/spreadsheets/d/11923uPwbBZFjjGgGUA6NLw09EwE0CqkOc4q9oUmW1yo/edit?usp=sharing"",""ลำปาง!I512"")"),0)</f>
        <v>0</v>
      </c>
      <c r="J617" s="187">
        <f ca="1">IFERROR(__xludf.DUMMYFUNCTION("IMPORTRANGE(""https://docs.google.com/spreadsheets/d/11923uPwbBZFjjGgGUA6NLw09EwE0CqkOc4q9oUmW1yo/edit?usp=sharing"",""ลำปาง!J512"")"),0)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IFERROR(__xludf.DUMMYFUNCTION("IMPORTRANGE(""https://docs.google.com/spreadsheets/d/11923uPwbBZFjjGgGUA6NLw09EwE0CqkOc4q9oUmW1yo/edit?usp=sharing"",""ลำปาง!I513"")"),0)</f>
        <v>0</v>
      </c>
      <c r="J618" s="188">
        <f ca="1">IFERROR(__xludf.DUMMYFUNCTION("IMPORTRANGE(""https://docs.google.com/spreadsheets/d/11923uPwbBZFjjGgGUA6NLw09EwE0CqkOc4q9oUmW1yo/edit?usp=sharing"",""ลำปาง!J513"")"),0)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IFERROR(__xludf.DUMMYFUNCTION("IMPORTRANGE(""https://docs.google.com/spreadsheets/d/11923uPwbBZFjjGgGUA6NLw09EwE0CqkOc4q9oUmW1yo/edit?usp=sharing"",""ลำปาง!I514"")"),0)</f>
        <v>0</v>
      </c>
      <c r="J619" s="188">
        <f ca="1">IFERROR(__xludf.DUMMYFUNCTION("IMPORTRANGE(""https://docs.google.com/spreadsheets/d/11923uPwbBZFjjGgGUA6NLw09EwE0CqkOc4q9oUmW1yo/edit?usp=sharing"",""ลำปาง!J514"")"),0)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IFERROR(__xludf.DUMMYFUNCTION("IMPORTRANGE(""https://docs.google.com/spreadsheets/d/11923uPwbBZFjjGgGUA6NLw09EwE0CqkOc4q9oUmW1yo/edit?usp=sharing"",""ลำปาง!I515"")"),0)</f>
        <v>0</v>
      </c>
      <c r="J620" s="202">
        <f ca="1">IFERROR(__xludf.DUMMYFUNCTION("IMPORTRANGE(""https://docs.google.com/spreadsheets/d/11923uPwbBZFjjGgGUA6NLw09EwE0CqkOc4q9oUmW1yo/edit?usp=sharing"",""ลำปาง!J515"")"),0)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IFERROR(__xludf.DUMMYFUNCTION("IMPORTRANGE(""https://docs.google.com/spreadsheets/d/11923uPwbBZFjjGgGUA6NLw09EwE0CqkOc4q9oUmW1yo/edit?usp=sharing"",""ลำปาง!I516"")"),0)</f>
        <v>0</v>
      </c>
      <c r="J621" s="202">
        <f ca="1">IFERROR(__xludf.DUMMYFUNCTION("IMPORTRANGE(""https://docs.google.com/spreadsheets/d/11923uPwbBZFjjGgGUA6NLw09EwE0CqkOc4q9oUmW1yo/edit?usp=sharing"",""ลำปาง!J516"")"),0)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IFERROR(__xludf.DUMMYFUNCTION("IMPORTRANGE(""https://docs.google.com/spreadsheets/d/11923uPwbBZFjjGgGUA6NLw09EwE0CqkOc4q9oUmW1yo/edit?usp=sharing"",""ลำปาง!I517"")"),0)</f>
        <v>0</v>
      </c>
      <c r="J622" s="188">
        <f ca="1">IFERROR(__xludf.DUMMYFUNCTION("IMPORTRANGE(""https://docs.google.com/spreadsheets/d/11923uPwbBZFjjGgGUA6NLw09EwE0CqkOc4q9oUmW1yo/edit?usp=sharing"",""ลำปาง!J517"")"),0)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IFERROR(__xludf.DUMMYFUNCTION("IMPORTRANGE(""https://docs.google.com/spreadsheets/d/11923uPwbBZFjjGgGUA6NLw09EwE0CqkOc4q9oUmW1yo/edit?usp=sharing"",""ลำปาง!I518"")"),0)</f>
        <v>0</v>
      </c>
      <c r="J623" s="188">
        <f ca="1">IFERROR(__xludf.DUMMYFUNCTION("IMPORTRANGE(""https://docs.google.com/spreadsheets/d/11923uPwbBZFjjGgGUA6NLw09EwE0CqkOc4q9oUmW1yo/edit?usp=sharing"",""ลำปาง!J518"")"),0)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IFERROR(__xludf.DUMMYFUNCTION("IMPORTRANGE(""https://docs.google.com/spreadsheets/d/11923uPwbBZFjjGgGUA6NLw09EwE0CqkOc4q9oUmW1yo/edit?usp=sharing"",""ลำปาง!I519"")"),0)</f>
        <v>0</v>
      </c>
      <c r="J624" s="187">
        <f ca="1">IFERROR(__xludf.DUMMYFUNCTION("IMPORTRANGE(""https://docs.google.com/spreadsheets/d/11923uPwbBZFjjGgGUA6NLw09EwE0CqkOc4q9oUmW1yo/edit?usp=sharing"",""ลำปาง!J519"")"),0)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IFERROR(__xludf.DUMMYFUNCTION("IMPORTRANGE(""https://docs.google.com/spreadsheets/d/11923uPwbBZFjjGgGUA6NLw09EwE0CqkOc4q9oUmW1yo/edit?usp=sharing"",""ลำปาง!I520"")"),0)</f>
        <v>0</v>
      </c>
      <c r="J625" s="188">
        <f ca="1">IFERROR(__xludf.DUMMYFUNCTION("IMPORTRANGE(""https://docs.google.com/spreadsheets/d/11923uPwbBZFjjGgGUA6NLw09EwE0CqkOc4q9oUmW1yo/edit?usp=sharing"",""ลำปาง!J520"")"),0)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IFERROR(__xludf.DUMMYFUNCTION("IMPORTRANGE(""https://docs.google.com/spreadsheets/d/11923uPwbBZFjjGgGUA6NLw09EwE0CqkOc4q9oUmW1yo/edit?usp=sharing"",""ลำปาง!I521"")"),0)</f>
        <v>0</v>
      </c>
      <c r="J626" s="188">
        <f ca="1">IFERROR(__xludf.DUMMYFUNCTION("IMPORTRANGE(""https://docs.google.com/spreadsheets/d/11923uPwbBZFjjGgGUA6NLw09EwE0CqkOc4q9oUmW1yo/edit?usp=sharing"",""ลำปาง!J521"")"),0)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IFERROR(__xludf.DUMMYFUNCTION("IMPORTRANGE(""https://docs.google.com/spreadsheets/d/11923uPwbBZFjjGgGUA6NLw09EwE0CqkOc4q9oUmW1yo/edit?usp=sharing"",""ลำปาง!I523"")"),8040578.33)</f>
        <v>8040578.3300000001</v>
      </c>
      <c r="J628" s="341">
        <f ca="1">IFERROR(__xludf.DUMMYFUNCTION("IMPORTRANGE(""https://docs.google.com/spreadsheets/d/11923uPwbBZFjjGgGUA6NLw09EwE0CqkOc4q9oUmW1yo/edit?usp=sharing"",""ลำปาง!J523"")"),6400862.39)</f>
        <v>6400862.3899999997</v>
      </c>
      <c r="K628" s="342">
        <f t="shared" ref="K628:K635" ca="1" si="129">IF(I628&gt;0,J628*100/I628,0)</f>
        <v>79.606990036001548</v>
      </c>
      <c r="L628" s="342"/>
      <c r="M628" s="342"/>
      <c r="N628" s="342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IFERROR(__xludf.DUMMYFUNCTION("IMPORTRANGE(""https://docs.google.com/spreadsheets/d/11923uPwbBZFjjGgGUA6NLw09EwE0CqkOc4q9oUmW1yo/edit?usp=sharing"",""ลำปาง!I524"")"),318)</f>
        <v>318</v>
      </c>
      <c r="J629" s="341">
        <f ca="1">IFERROR(__xludf.DUMMYFUNCTION("IMPORTRANGE(""https://docs.google.com/spreadsheets/d/11923uPwbBZFjjGgGUA6NLw09EwE0CqkOc4q9oUmW1yo/edit?usp=sharing"",""ลำปาง!J524"")"),251)</f>
        <v>251</v>
      </c>
      <c r="K629" s="342">
        <f t="shared" ca="1" si="129"/>
        <v>78.930817610062888</v>
      </c>
      <c r="L629" s="342"/>
      <c r="M629" s="342"/>
      <c r="N629" s="342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IFERROR(__xludf.DUMMYFUNCTION("IMPORTRANGE(""https://docs.google.com/spreadsheets/d/11923uPwbBZFjjGgGUA6NLw09EwE0CqkOc4q9oUmW1yo/edit?usp=sharing"",""ลำปาง!I525"")"),17310.57)</f>
        <v>17310.57</v>
      </c>
      <c r="J630" s="341">
        <f ca="1">IFERROR(__xludf.DUMMYFUNCTION("IMPORTRANGE(""https://docs.google.com/spreadsheets/d/11923uPwbBZFjjGgGUA6NLw09EwE0CqkOc4q9oUmW1yo/edit?usp=sharing"",""ลำปาง!J525"")"),2681.42)</f>
        <v>2681.42</v>
      </c>
      <c r="K630" s="342">
        <f t="shared" ca="1" si="129"/>
        <v>15.490073406017249</v>
      </c>
      <c r="L630" s="342"/>
      <c r="M630" s="342"/>
      <c r="N630" s="342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IFERROR(__xludf.DUMMYFUNCTION("IMPORTRANGE(""https://docs.google.com/spreadsheets/d/11923uPwbBZFjjGgGUA6NLw09EwE0CqkOc4q9oUmW1yo/edit?usp=sharing"",""ลำปาง!I526"")"),1)</f>
        <v>1</v>
      </c>
      <c r="J631" s="341">
        <f ca="1">IFERROR(__xludf.DUMMYFUNCTION("IMPORTRANGE(""https://docs.google.com/spreadsheets/d/11923uPwbBZFjjGgGUA6NLw09EwE0CqkOc4q9oUmW1yo/edit?usp=sharing"",""ลำปาง!J526"")"),1)</f>
        <v>1</v>
      </c>
      <c r="K631" s="342">
        <f t="shared" ca="1" si="129"/>
        <v>100</v>
      </c>
      <c r="L631" s="342"/>
      <c r="M631" s="342"/>
      <c r="N631" s="342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IFERROR(__xludf.DUMMYFUNCTION("IMPORTRANGE(""https://docs.google.com/spreadsheets/d/11923uPwbBZFjjGgGUA6NLw09EwE0CqkOc4q9oUmW1yo/edit?usp=sharing"",""ลำปาง!I527"")"),0)</f>
        <v>0</v>
      </c>
      <c r="J632" s="341">
        <f ca="1">IFERROR(__xludf.DUMMYFUNCTION("IMPORTRANGE(""https://docs.google.com/spreadsheets/d/11923uPwbBZFjjGgGUA6NLw09EwE0CqkOc4q9oUmW1yo/edit?usp=sharing"",""ลำปาง!J527"")"),0)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IFERROR(__xludf.DUMMYFUNCTION("IMPORTRANGE(""https://docs.google.com/spreadsheets/d/11923uPwbBZFjjGgGUA6NLw09EwE0CqkOc4q9oUmW1yo/edit?usp=sharing"",""ลำปาง!I528"")"),0)</f>
        <v>0</v>
      </c>
      <c r="J633" s="341">
        <f ca="1">IFERROR(__xludf.DUMMYFUNCTION("IMPORTRANGE(""https://docs.google.com/spreadsheets/d/11923uPwbBZFjjGgGUA6NLw09EwE0CqkOc4q9oUmW1yo/edit?usp=sharing"",""ลำปาง!J528"")"),0)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IFERROR(__xludf.DUMMYFUNCTION("IMPORTRANGE(""https://docs.google.com/spreadsheets/d/11923uPwbBZFjjGgGUA6NLw09EwE0CqkOc4q9oUmW1yo/edit?usp=sharing"",""ลำปาง!I529"")"),6665000)</f>
        <v>6665000</v>
      </c>
      <c r="J634" s="341">
        <f ca="1">IFERROR(__xludf.DUMMYFUNCTION("IMPORTRANGE(""https://docs.google.com/spreadsheets/d/11923uPwbBZFjjGgGUA6NLw09EwE0CqkOc4q9oUmW1yo/edit?usp=sharing"",""ลำปาง!J529"")"),6195000)</f>
        <v>6195000</v>
      </c>
      <c r="K634" s="342">
        <f t="shared" ca="1" si="129"/>
        <v>92.948237059264812</v>
      </c>
      <c r="L634" s="342"/>
      <c r="M634" s="342"/>
      <c r="N634" s="342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IFERROR(__xludf.DUMMYFUNCTION("IMPORTRANGE(""https://docs.google.com/spreadsheets/d/11923uPwbBZFjjGgGUA6NLw09EwE0CqkOc4q9oUmW1yo/edit?usp=sharing"",""ลำปาง!I530"")"),173)</f>
        <v>173</v>
      </c>
      <c r="J635" s="504">
        <f ca="1">IFERROR(__xludf.DUMMYFUNCTION("IMPORTRANGE(""https://docs.google.com/spreadsheets/d/11923uPwbBZFjjGgGUA6NLw09EwE0CqkOc4q9oUmW1yo/edit?usp=sharing"",""ลำปาง!J530"")"),173)</f>
        <v>173</v>
      </c>
      <c r="K635" s="486">
        <f t="shared" ca="1" si="129"/>
        <v>100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5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5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IFERROR(__xludf.DUMMYFUNCTION("IMPORTRANGE(""https://docs.google.com/spreadsheets/d/11923uPwbBZFjjGgGUA6NLw09EwE0CqkOc4q9oUmW1yo/edit?usp=sharing"",""ลำปาง!J541"")"),0)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5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IFERROR(__xludf.DUMMYFUNCTION("IMPORTRANGE(""https://docs.google.com/spreadsheets/d/11923uPwbBZFjjGgGUA6NLw09EwE0CqkOc4q9oUmW1yo/edit?usp=sharing"",""ลำปาง!J542"")"),0)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5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IFERROR(__xludf.DUMMYFUNCTION("IMPORTRANGE(""https://docs.google.com/spreadsheets/d/11923uPwbBZFjjGgGUA6NLw09EwE0CqkOc4q9oUmW1yo/edit?usp=sharing"",""ลำปาง!I543"")"),0)</f>
        <v>0</v>
      </c>
      <c r="J648" s="535">
        <f ca="1">IFERROR(__xludf.DUMMYFUNCTION("IMPORTRANGE(""https://docs.google.com/spreadsheets/d/11923uPwbBZFjjGgGUA6NLw09EwE0CqkOc4q9oUmW1yo/edit?usp=sharing"",""ลำปาง!J543"")"),0)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IFERROR(__xludf.DUMMYFUNCTION("IMPORTRANGE(""https://docs.google.com/spreadsheets/d/11923uPwbBZFjjGgGUA6NLw09EwE0CqkOc4q9oUmW1yo/edit?usp=sharing"",""ลำปาง!L543"")"),0)</f>
        <v>0</v>
      </c>
      <c r="M648" s="520"/>
      <c r="N648" s="537">
        <f ca="1">IFERROR(__xludf.DUMMYFUNCTION("IMPORTRANGE(""https://docs.google.com/spreadsheets/d/11923uPwbBZFjjGgGUA6NLw09EwE0CqkOc4q9oUmW1yo/edit?usp=sharing"",""ลำปาง!M543"")"),0)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5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IFERROR(__xludf.DUMMYFUNCTION("IMPORTRANGE(""https://docs.google.com/spreadsheets/d/11923uPwbBZFjjGgGUA6NLw09EwE0CqkOc4q9oUmW1yo/edit?usp=sharing"",""ลำปาง!I544"")"),0)</f>
        <v>0</v>
      </c>
      <c r="J649" s="535">
        <f ca="1">IFERROR(__xludf.DUMMYFUNCTION("IMPORTRANGE(""https://docs.google.com/spreadsheets/d/11923uPwbBZFjjGgGUA6NLw09EwE0CqkOc4q9oUmW1yo/edit?usp=sharing"",""ลำปาง!J544"")"),0)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IFERROR(__xludf.DUMMYFUNCTION("IMPORTRANGE(""https://docs.google.com/spreadsheets/d/11923uPwbBZFjjGgGUA6NLw09EwE0CqkOc4q9oUmW1yo/edit?usp=sharing"",""ลำปาง!L544"")"),0)</f>
        <v>0</v>
      </c>
      <c r="M649" s="520"/>
      <c r="N649" s="537">
        <f ca="1">IFERROR(__xludf.DUMMYFUNCTION("IMPORTRANGE(""https://docs.google.com/spreadsheets/d/11923uPwbBZFjjGgGUA6NLw09EwE0CqkOc4q9oUmW1yo/edit?usp=sharing"",""ลำปาง!M544"")"),0)</f>
        <v>0</v>
      </c>
      <c r="O649" s="536">
        <f t="shared" ca="1" si="132"/>
        <v>0</v>
      </c>
      <c r="P649" s="536"/>
    </row>
    <row r="650" spans="1:16" ht="21.75" customHeight="1" x14ac:dyDescent="0.45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IFERROR(__xludf.DUMMYFUNCTION("IMPORTRANGE(""https://docs.google.com/spreadsheets/d/11923uPwbBZFjjGgGUA6NLw09EwE0CqkOc4q9oUmW1yo/edit?usp=sharing"",""ลำปาง!I545"")"),0)</f>
        <v>0</v>
      </c>
      <c r="J650" s="535">
        <f ca="1">IFERROR(__xludf.DUMMYFUNCTION("IMPORTRANGE(""https://docs.google.com/spreadsheets/d/11923uPwbBZFjjGgGUA6NLw09EwE0CqkOc4q9oUmW1yo/edit?usp=sharing"",""ลำปาง!J545"")"),0)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IFERROR(__xludf.DUMMYFUNCTION("IMPORTRANGE(""https://docs.google.com/spreadsheets/d/11923uPwbBZFjjGgGUA6NLw09EwE0CqkOc4q9oUmW1yo/edit?usp=sharing"",""ลำปาง!L545"")"),0)</f>
        <v>0</v>
      </c>
      <c r="M650" s="520"/>
      <c r="N650" s="537">
        <f ca="1">IFERROR(__xludf.DUMMYFUNCTION("IMPORTRANGE(""https://docs.google.com/spreadsheets/d/11923uPwbBZFjjGgGUA6NLw09EwE0CqkOc4q9oUmW1yo/edit?usp=sharing"",""ลำปาง!M545"")"),0)</f>
        <v>0</v>
      </c>
      <c r="O650" s="536">
        <f t="shared" ca="1" si="132"/>
        <v>0</v>
      </c>
      <c r="P650" s="536"/>
    </row>
    <row r="651" spans="1:16" ht="21.75" customHeight="1" x14ac:dyDescent="0.45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IFERROR(__xludf.DUMMYFUNCTION("IMPORTRANGE(""https://docs.google.com/spreadsheets/d/11923uPwbBZFjjGgGUA6NLw09EwE0CqkOc4q9oUmW1yo/edit?usp=sharing"",""ลำปาง!I546"")"),0)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IFERROR(__xludf.DUMMYFUNCTION("IMPORTRANGE(""https://docs.google.com/spreadsheets/d/11923uPwbBZFjjGgGUA6NLw09EwE0CqkOc4q9oUmW1yo/edit?usp=sharing"",""ลำปาง!L546"")"),0)</f>
        <v>0</v>
      </c>
      <c r="M651" s="520"/>
      <c r="N651" s="537">
        <f ca="1">IFERROR(__xludf.DUMMYFUNCTION("IMPORTRANGE(""https://docs.google.com/spreadsheets/d/11923uPwbBZFjjGgGUA6NLw09EwE0CqkOc4q9oUmW1yo/edit?usp=sharing"",""ลำปาง!M546"")"),0)</f>
        <v>0</v>
      </c>
      <c r="O651" s="536">
        <f t="shared" ca="1" si="132"/>
        <v>0</v>
      </c>
      <c r="P651" s="536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IFERROR(__xludf.DUMMYFUNCTION("IMPORTRANGE(""https://docs.google.com/spreadsheets/d/11923uPwbBZFjjGgGUA6NLw09EwE0CqkOc4q9oUmW1yo/edit?usp=sharing"",""ลำปาง!J547"")"),0)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IFERROR(__xludf.DUMMYFUNCTION("IMPORTRANGE(""https://docs.google.com/spreadsheets/d/11923uPwbBZFjjGgGUA6NLw09EwE0CqkOc4q9oUmW1yo/edit?usp=sharing"",""ลำปาง!J548"")"),0)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IFERROR(__xludf.DUMMYFUNCTION("IMPORTRANGE(""https://docs.google.com/spreadsheets/d/11923uPwbBZFjjGgGUA6NLw09EwE0CqkOc4q9oUmW1yo/edit?usp=sharing"",""ลำปาง!J550"")"),0)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IFERROR(__xludf.DUMMYFUNCTION("IMPORTRANGE(""https://docs.google.com/spreadsheets/d/11923uPwbBZFjjGgGUA6NLw09EwE0CqkOc4q9oUmW1yo/edit?usp=sharing"",""ลำปาง!J551"")"),0)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IFERROR(__xludf.DUMMYFUNCTION("IMPORTRANGE(""https://docs.google.com/spreadsheets/d/11923uPwbBZFjjGgGUA6NLw09EwE0CqkOc4q9oUmW1yo/edit?usp=sharing"",""ลำปาง!J552"")"),0)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IFERROR(__xludf.DUMMYFUNCTION("IMPORTRANGE(""https://docs.google.com/spreadsheets/d/11923uPwbBZFjjGgGUA6NLw09EwE0CqkOc4q9oUmW1yo/edit?usp=sharing"",""ลำปาง!J553"")"),0)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IFERROR(__xludf.DUMMYFUNCTION("IMPORTRANGE(""https://docs.google.com/spreadsheets/d/11923uPwbBZFjjGgGUA6NLw09EwE0CqkOc4q9oUmW1yo/edit?usp=sharing"",""ลำปาง!J554"")"),0)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IFERROR(__xludf.DUMMYFUNCTION("IMPORTRANGE(""https://docs.google.com/spreadsheets/d/11923uPwbBZFjjGgGUA6NLw09EwE0CqkOc4q9oUmW1yo/edit?usp=sharing"",""ลำปาง!J555"")"),0)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5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IFERROR(__xludf.DUMMYFUNCTION("IMPORTRANGE(""https://docs.google.com/spreadsheets/d/11923uPwbBZFjjGgGUA6NLw09EwE0CqkOc4q9oUmW1yo/edit?usp=sharing"",""ลำปาง!J556"")"),0)</f>
        <v>0</v>
      </c>
      <c r="K661" s="536"/>
      <c r="L661" s="521">
        <f ca="1">IFERROR(__xludf.DUMMYFUNCTION("IMPORTRANGE(""https://docs.google.com/spreadsheets/d/11923uPwbBZFjjGgGUA6NLw09EwE0CqkOc4q9oUmW1yo/edit?usp=sharing"",""ลำปาง!L556"")"),0)</f>
        <v>0</v>
      </c>
      <c r="M661" s="520"/>
      <c r="N661" s="537">
        <f ca="1">IFERROR(__xludf.DUMMYFUNCTION("IMPORTRANGE(""https://docs.google.com/spreadsheets/d/11923uPwbBZFjjGgGUA6NLw09EwE0CqkOc4q9oUmW1yo/edit?usp=sharing"",""ลำปาง!M556"")"),0)</f>
        <v>0</v>
      </c>
      <c r="O661" s="536">
        <f ca="1">IF(L661&gt;0,N661*100/L661,0)</f>
        <v>0</v>
      </c>
      <c r="P661" s="536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IFERROR(__xludf.DUMMYFUNCTION("IMPORTRANGE(""https://docs.google.com/spreadsheets/d/11923uPwbBZFjjGgGUA6NLw09EwE0CqkOc4q9oUmW1yo/edit?usp=sharing"",""ลำปาง!J557"")"),0)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IFERROR(__xludf.DUMMYFUNCTION("IMPORTRANGE(""https://docs.google.com/spreadsheets/d/11923uPwbBZFjjGgGUA6NLw09EwE0CqkOc4q9oUmW1yo/edit?usp=sharing"",""ลำปาง!I558"")"),0)</f>
        <v>0</v>
      </c>
      <c r="J663" s="535">
        <f ca="1">IFERROR(__xludf.DUMMYFUNCTION("IMPORTRANGE(""https://docs.google.com/spreadsheets/d/11923uPwbBZFjjGgGUA6NLw09EwE0CqkOc4q9oUmW1yo/edit?usp=sharing"",""ลำปาง!J558"")"),0)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5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IFERROR(__xludf.DUMMYFUNCTION("IMPORTRANGE(""https://docs.google.com/spreadsheets/d/11923uPwbBZFjjGgGUA6NLw09EwE0CqkOc4q9oUmW1yo/edit?usp=sharing"",""ลำปาง!I560"")"),0)</f>
        <v>0</v>
      </c>
      <c r="J665" s="535">
        <f ca="1">IFERROR(__xludf.DUMMYFUNCTION("IMPORTRANGE(""https://docs.google.com/spreadsheets/d/11923uPwbBZFjjGgGUA6NLw09EwE0CqkOc4q9oUmW1yo/edit?usp=sharing"",""ลำปาง!J560"")"),0)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IFERROR(__xludf.DUMMYFUNCTION("IMPORTRANGE(""https://docs.google.com/spreadsheets/d/11923uPwbBZFjjGgGUA6NLw09EwE0CqkOc4q9oUmW1yo/edit?usp=sharing"",""ลำปาง!L560"")"),0)</f>
        <v>0</v>
      </c>
      <c r="M665" s="520"/>
      <c r="N665" s="537">
        <f ca="1">IFERROR(__xludf.DUMMYFUNCTION("IMPORTRANGE(""https://docs.google.com/spreadsheets/d/11923uPwbBZFjjGgGUA6NLw09EwE0CqkOc4q9oUmW1yo/edit?usp=sharing"",""ลำปาง!M560"")"),0)</f>
        <v>0</v>
      </c>
      <c r="O665" s="536">
        <f ca="1">IF(L665&gt;0,N665*100/L665,0)</f>
        <v>0</v>
      </c>
      <c r="P665" s="536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IFERROR(__xludf.DUMMYFUNCTION("IMPORTRANGE(""https://docs.google.com/spreadsheets/d/11923uPwbBZFjjGgGUA6NLw09EwE0CqkOc4q9oUmW1yo/edit?usp=sharing"",""ลำปาง!J561"")"),0)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IFERROR(__xludf.DUMMYFUNCTION("IMPORTRANGE(""https://docs.google.com/spreadsheets/d/11923uPwbBZFjjGgGUA6NLw09EwE0CqkOc4q9oUmW1yo/edit?usp=sharing"",""ลำปาง!J562"")"),0)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IFERROR(__xludf.DUMMYFUNCTION("IMPORTRANGE(""https://docs.google.com/spreadsheets/d/11923uPwbBZFjjGgGUA6NLw09EwE0CqkOc4q9oUmW1yo/edit?usp=sharing"",""ลำปาง!I563"")"),0)</f>
        <v>0</v>
      </c>
      <c r="J668" s="535">
        <f ca="1">IFERROR(__xludf.DUMMYFUNCTION("IMPORTRANGE(""https://docs.google.com/spreadsheets/d/11923uPwbBZFjjGgGUA6NLw09EwE0CqkOc4q9oUmW1yo/edit?usp=sharing"",""ลำปาง!J563"")"),0)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IFERROR(__xludf.DUMMYFUNCTION("IMPORTRANGE(""https://docs.google.com/spreadsheets/d/11923uPwbBZFjjGgGUA6NLw09EwE0CqkOc4q9oUmW1yo/edit?usp=sharing"",""ลำปาง!L563"")"),0)</f>
        <v>0</v>
      </c>
      <c r="M668" s="520"/>
      <c r="N668" s="537">
        <f ca="1">IFERROR(__xludf.DUMMYFUNCTION("IMPORTRANGE(""https://docs.google.com/spreadsheets/d/11923uPwbBZFjjGgGUA6NLw09EwE0CqkOc4q9oUmW1yo/edit?usp=sharing"",""ลำปาง!M563"")"),0)</f>
        <v>0</v>
      </c>
      <c r="O668" s="536">
        <f ca="1">IF(L668&gt;0,N668*100/L668,0)</f>
        <v>0</v>
      </c>
      <c r="P668" s="536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IFERROR(__xludf.DUMMYFUNCTION("IMPORTRANGE(""https://docs.google.com/spreadsheets/d/11923uPwbBZFjjGgGUA6NLw09EwE0CqkOc4q9oUmW1yo/edit?usp=sharing"",""ลำปาง!J564"")"),0)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IFERROR(__xludf.DUMMYFUNCTION("IMPORTRANGE(""https://docs.google.com/spreadsheets/d/11923uPwbBZFjjGgGUA6NLw09EwE0CqkOc4q9oUmW1yo/edit?usp=sharing"",""ลำปาง!J565"")"),0)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5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IFERROR(__xludf.DUMMYFUNCTION("IMPORTRANGE(""https://docs.google.com/spreadsheets/d/11923uPwbBZFjjGgGUA6NLw09EwE0CqkOc4q9oUmW1yo/edit?usp=sharing"",""ลำปาง!I566"")"),0)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IFERROR(__xludf.DUMMYFUNCTION("IMPORTRANGE(""https://docs.google.com/spreadsheets/d/11923uPwbBZFjjGgGUA6NLw09EwE0CqkOc4q9oUmW1yo/edit?usp=sharing"",""ลำปาง!L566"")"),0)</f>
        <v>0</v>
      </c>
      <c r="M671" s="520"/>
      <c r="N671" s="537">
        <f ca="1">IFERROR(__xludf.DUMMYFUNCTION("IMPORTRANGE(""https://docs.google.com/spreadsheets/d/11923uPwbBZFjjGgGUA6NLw09EwE0CqkOc4q9oUmW1yo/edit?usp=sharing"",""ลำปาง!M566"")"),0)</f>
        <v>0</v>
      </c>
      <c r="O671" s="536">
        <f ca="1">IF(L671&gt;0,N671*100/L671,0)</f>
        <v>0</v>
      </c>
      <c r="P671" s="536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IFERROR(__xludf.DUMMYFUNCTION("IMPORTRANGE(""https://docs.google.com/spreadsheets/d/11923uPwbBZFjjGgGUA6NLw09EwE0CqkOc4q9oUmW1yo/edit?usp=sharing"",""ลำปาง!J567"")"),0)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IFERROR(__xludf.DUMMYFUNCTION("IMPORTRANGE(""https://docs.google.com/spreadsheets/d/11923uPwbBZFjjGgGUA6NLw09EwE0CqkOc4q9oUmW1yo/edit?usp=sharing"",""ลำปาง!J568"")"),0)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IFERROR(__xludf.DUMMYFUNCTION("IMPORTRANGE(""https://docs.google.com/spreadsheets/d/11923uPwbBZFjjGgGUA6NLw09EwE0CqkOc4q9oUmW1yo/edit?usp=sharing"",""ลำปาง!J569"")"),0)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IFERROR(__xludf.DUMMYFUNCTION("IMPORTRANGE(""https://docs.google.com/spreadsheets/d/11923uPwbBZFjjGgGUA6NLw09EwE0CqkOc4q9oUmW1yo/edit?usp=sharing"",""ลำปาง!J570"")"),0)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IFERROR(__xludf.DUMMYFUNCTION("IMPORTRANGE(""https://docs.google.com/spreadsheets/d/11923uPwbBZFjjGgGUA6NLw09EwE0CqkOc4q9oUmW1yo/edit?usp=sharing"",""ลำปาง!J571"")"),0)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5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IFERROR(__xludf.DUMMYFUNCTION("IMPORTRANGE(""https://docs.google.com/spreadsheets/d/11923uPwbBZFjjGgGUA6NLw09EwE0CqkOc4q9oUmW1yo/edit?usp=sharing"",""ลำปาง!J572"")"),0)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35">
      <c r="A2" s="577" t="s">
        <v>286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3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6619755</v>
      </c>
      <c r="M8" s="23">
        <f t="shared" ca="1" si="0"/>
        <v>3421770</v>
      </c>
      <c r="N8" s="23">
        <f t="shared" ca="1" si="0"/>
        <v>3808842.51</v>
      </c>
      <c r="O8" s="22">
        <f t="shared" ref="O8:O16" ca="1" si="1">IF(L8&gt;0,N8*100/L8,0)</f>
        <v>57.537514756966083</v>
      </c>
      <c r="P8" s="22">
        <f t="shared" ref="P8:P16" ca="1" si="2">IF(M8&gt;0,N8*100/M8,0)</f>
        <v>111.31205516443244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6619755</v>
      </c>
      <c r="M10" s="30">
        <f t="shared" ca="1" si="4"/>
        <v>3421770</v>
      </c>
      <c r="N10" s="30">
        <f t="shared" ca="1" si="4"/>
        <v>3808842.51</v>
      </c>
      <c r="O10" s="29">
        <f t="shared" ca="1" si="1"/>
        <v>57.537514756966083</v>
      </c>
      <c r="P10" s="29">
        <f t="shared" ca="1" si="2"/>
        <v>111.31205516443244</v>
      </c>
    </row>
    <row r="11" spans="1:16" ht="21.75" customHeight="1" x14ac:dyDescent="0.45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6370355</v>
      </c>
      <c r="M12" s="39">
        <f t="shared" ca="1" si="6"/>
        <v>3172370</v>
      </c>
      <c r="N12" s="39">
        <f t="shared" ca="1" si="6"/>
        <v>3559442.51</v>
      </c>
      <c r="O12" s="39">
        <f t="shared" ca="1" si="1"/>
        <v>55.875104448653175</v>
      </c>
      <c r="P12" s="39">
        <f t="shared" ca="1" si="2"/>
        <v>112.20136711669824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2233700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4136655</v>
      </c>
      <c r="M14" s="39">
        <f t="shared" si="8"/>
        <v>0</v>
      </c>
      <c r="N14" s="39">
        <f t="shared" ca="1" si="8"/>
        <v>966620</v>
      </c>
      <c r="O14" s="39">
        <f t="shared" ca="1" si="1"/>
        <v>23.367189190299893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249400</v>
      </c>
      <c r="M16" s="39">
        <f t="shared" ca="1" si="10"/>
        <v>249400</v>
      </c>
      <c r="N16" s="39">
        <f t="shared" ca="1" si="10"/>
        <v>249400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4207545</v>
      </c>
      <c r="M18" s="23">
        <f t="shared" ca="1" si="11"/>
        <v>3421770</v>
      </c>
      <c r="N18" s="23">
        <f t="shared" ca="1" si="11"/>
        <v>2842222.51</v>
      </c>
      <c r="O18" s="22">
        <f t="shared" ref="O18:O20" ca="1" si="12">IF(L18&gt;0,N18*100/L18,0)</f>
        <v>67.550614669599497</v>
      </c>
      <c r="P18" s="22">
        <f t="shared" ref="P18:P26" ca="1" si="13">IF(M18&gt;0,N18*100/M18,0)</f>
        <v>83.062932634279917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4207545</v>
      </c>
      <c r="M20" s="30">
        <f t="shared" ca="1" si="15"/>
        <v>3421770</v>
      </c>
      <c r="N20" s="30">
        <f t="shared" ca="1" si="15"/>
        <v>2842222.51</v>
      </c>
      <c r="O20" s="29">
        <f t="shared" ca="1" si="12"/>
        <v>67.550614669599497</v>
      </c>
      <c r="P20" s="29">
        <f t="shared" ca="1" si="13"/>
        <v>83.062932634279917</v>
      </c>
    </row>
    <row r="21" spans="1:16" ht="21.75" customHeight="1" x14ac:dyDescent="0.45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3958145</v>
      </c>
      <c r="M22" s="42">
        <f t="shared" ca="1" si="18"/>
        <v>3172370</v>
      </c>
      <c r="N22" s="39">
        <f t="shared" ca="1" si="18"/>
        <v>2592822.5099999998</v>
      </c>
      <c r="O22" s="39">
        <f t="shared" ca="1" si="17"/>
        <v>65.506001169739861</v>
      </c>
      <c r="P22" s="39">
        <f t="shared" ca="1" si="13"/>
        <v>81.731403020454735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2233700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1724445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249400</v>
      </c>
      <c r="M26" s="50">
        <f t="shared" ca="1" si="22"/>
        <v>249400</v>
      </c>
      <c r="N26" s="50">
        <f t="shared" ca="1" si="22"/>
        <v>249400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2412210</v>
      </c>
      <c r="M28" s="23">
        <f t="shared" si="23"/>
        <v>0</v>
      </c>
      <c r="N28" s="23">
        <f t="shared" ca="1" si="23"/>
        <v>966620</v>
      </c>
      <c r="O28" s="22">
        <f t="shared" ref="O28:O30" ca="1" si="24">IF(L28&gt;0,N28*100/L28,0)</f>
        <v>40.071967200202302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2412210</v>
      </c>
      <c r="M30" s="30">
        <f t="shared" si="27"/>
        <v>0</v>
      </c>
      <c r="N30" s="30">
        <f t="shared" ca="1" si="27"/>
        <v>966620</v>
      </c>
      <c r="O30" s="29">
        <f t="shared" ca="1" si="24"/>
        <v>40.071967200202302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2412210</v>
      </c>
      <c r="M32" s="39">
        <f t="shared" si="30"/>
        <v>0</v>
      </c>
      <c r="N32" s="39">
        <f t="shared" ca="1" si="30"/>
        <v>966620</v>
      </c>
      <c r="O32" s="39">
        <f t="shared" ca="1" si="29"/>
        <v>40.071967200202302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2412210</v>
      </c>
      <c r="M34" s="39">
        <f t="shared" si="32"/>
        <v>0</v>
      </c>
      <c r="N34" s="39">
        <f t="shared" ca="1" si="32"/>
        <v>966620</v>
      </c>
      <c r="O34" s="39">
        <f t="shared" ca="1" si="29"/>
        <v>40.071967200202302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4207545</v>
      </c>
      <c r="M37" s="55">
        <f t="shared" ca="1" si="33"/>
        <v>3421770</v>
      </c>
      <c r="N37" s="55">
        <f t="shared" ca="1" si="33"/>
        <v>2842222.51</v>
      </c>
      <c r="O37" s="56">
        <f t="shared" ca="1" si="29"/>
        <v>67.550614669599497</v>
      </c>
      <c r="P37" s="56">
        <f t="shared" ca="1" si="25"/>
        <v>83.062932634279917</v>
      </c>
    </row>
    <row r="38" spans="1:16" ht="21.75" customHeight="1" x14ac:dyDescent="0.45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758700</v>
      </c>
      <c r="M41" s="79">
        <f t="shared" ca="1" si="34"/>
        <v>569000</v>
      </c>
      <c r="N41" s="79">
        <f t="shared" ca="1" si="34"/>
        <v>523692.5</v>
      </c>
      <c r="O41" s="78">
        <f t="shared" ref="O41:O43" ca="1" si="35">IF(L41&gt;0,N41*100/L41,0)</f>
        <v>69.024976934229599</v>
      </c>
      <c r="P41" s="78">
        <f t="shared" ref="P41:P43" ca="1" si="36">IF(M41&gt;0,N41*100/M41,0)</f>
        <v>92.037346221441126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758700</v>
      </c>
      <c r="M43" s="79">
        <f t="shared" ca="1" si="38"/>
        <v>569000</v>
      </c>
      <c r="N43" s="79">
        <f t="shared" ca="1" si="38"/>
        <v>523692.5</v>
      </c>
      <c r="O43" s="78">
        <f t="shared" ca="1" si="35"/>
        <v>69.024976934229599</v>
      </c>
      <c r="P43" s="78">
        <f t="shared" ca="1" si="36"/>
        <v>92.037346221441126</v>
      </c>
    </row>
    <row r="44" spans="1:16" ht="21.75" customHeight="1" x14ac:dyDescent="0.45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758700</v>
      </c>
      <c r="M45" s="50">
        <f ca="1">IFERROR(__xludf.DUMMYFUNCTION("IMPORTRANGE(""https://docs.google.com/spreadsheets/d/1Yj_ptqi66GCucihVvJfMjLAmec39IyEx_6qawtMGysU/edit?usp=sharing"",""สบก!Q33"")"),569000)</f>
        <v>569000</v>
      </c>
      <c r="N45" s="50">
        <f ca="1">IFERROR(__xludf.DUMMYFUNCTION("IMPORTRANGE(""https://docs.google.com/spreadsheets/d/1Yj_ptqi66GCucihVvJfMjLAmec39IyEx_6qawtMGysU/edit?usp=sharing"",""สบก!R33"")"),523692.5)</f>
        <v>523692.5</v>
      </c>
      <c r="O45" s="39">
        <f ca="1">IF(L45&gt;0,N45*100/L45,0)</f>
        <v>69.024976934229599</v>
      </c>
      <c r="P45" s="39">
        <f ca="1">IF(M45&gt;0,N45*100/M45,0)</f>
        <v>92.037346221441126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IFERROR(__xludf.DUMMYFUNCTION("IMPORTRANGE(""https://docs.google.com/spreadsheets/d/1Yj_ptqi66GCucihVvJfMjLAmec39IyEx_6qawtMGysU/edit?usp=sharing"",""สบก!M33"")"),758700)</f>
        <v>758700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IFERROR(__xludf.DUMMYFUNCTION("IMPORTRANGE(""https://docs.google.com/spreadsheets/d/1Yj_ptqi66GCucihVvJfMjLAmec39IyEx_6qawtMGysU/edit?usp=sharing"",""สบก!N33"")"),0)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IFERROR(__xludf.DUMMYFUNCTION("IMPORTRANGE(""https://docs.google.com/spreadsheets/d/1Yj_ptqi66GCucihVvJfMjLAmec39IyEx_6qawtMGysU/edit?usp=sharing"",""สบก!O33"")"),0)</f>
        <v>0</v>
      </c>
      <c r="M49" s="50"/>
      <c r="N49" s="50">
        <f ca="1">IFERROR(__xludf.DUMMYFUNCTION("IMPORTRANGE(""https://docs.google.com/spreadsheets/d/1Yj_ptqi66GCucihVvJfMjLAmec39IyEx_6qawtMGysU/edit?usp=sharing"",""สบก!S33"")"),0)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486050</v>
      </c>
      <c r="N53" s="121">
        <f t="shared" ca="1" si="39"/>
        <v>398331.25</v>
      </c>
      <c r="O53" s="120">
        <f t="shared" ref="O53:O55" ca="1" si="40">IF(L53&gt;0,N53*100/L53,0)</f>
        <v>66.388541666666669</v>
      </c>
      <c r="P53" s="120">
        <f t="shared" ref="P53:P55" ca="1" si="41">IF(M53&gt;0,N53*100/M53,0)</f>
        <v>81.952731200493773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486050</v>
      </c>
      <c r="N55" s="121">
        <f t="shared" ca="1" si="43"/>
        <v>398331.25</v>
      </c>
      <c r="O55" s="120">
        <f t="shared" ca="1" si="40"/>
        <v>66.388541666666669</v>
      </c>
      <c r="P55" s="120">
        <f t="shared" ca="1" si="41"/>
        <v>81.952731200493773</v>
      </c>
    </row>
    <row r="56" spans="1:16" ht="21.75" customHeight="1" x14ac:dyDescent="0.45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600000</v>
      </c>
      <c r="M57" s="50">
        <f ca="1">IFERROR(__xludf.DUMMYFUNCTION("IMPORTRANGE(""https://docs.google.com/spreadsheets/d/1Yj_ptqi66GCucihVvJfMjLAmec39IyEx_6qawtMGysU/edit?usp=sharing"",""สบก!Z33"")"),486050)</f>
        <v>486050</v>
      </c>
      <c r="N57" s="50">
        <f ca="1">IFERROR(__xludf.DUMMYFUNCTION("IMPORTRANGE(""https://docs.google.com/spreadsheets/d/1Yj_ptqi66GCucihVvJfMjLAmec39IyEx_6qawtMGysU/edit?usp=sharing"",""สบก!AA33"")"),398331.25)</f>
        <v>398331.25</v>
      </c>
      <c r="O57" s="39">
        <f ca="1">IF(L57&gt;0,N57*100/L57,0)</f>
        <v>66.388541666666669</v>
      </c>
      <c r="P57" s="39">
        <f ca="1">IF(M57&gt;0,N57*100/M57,0)</f>
        <v>81.952731200493773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IFERROR(__xludf.DUMMYFUNCTION("IMPORTRANGE(""https://docs.google.com/spreadsheets/d/1Yj_ptqi66GCucihVvJfMjLAmec39IyEx_6qawtMGysU/edit?usp=sharing"",""สบก!V33"")"),600000)</f>
        <v>600000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IFERROR(__xludf.DUMMYFUNCTION("IMPORTRANGE(""https://docs.google.com/spreadsheets/d/1Yj_ptqi66GCucihVvJfMjLAmec39IyEx_6qawtMGysU/edit?usp=sharing"",""สบก!W33"")"),0)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IFERROR(__xludf.DUMMYFUNCTION("IMPORTRANGE(""https://docs.google.com/spreadsheets/d/1Yj_ptqi66GCucihVvJfMjLAmec39IyEx_6qawtMGysU/edit?usp=sharing"",""สบก!X33"")"),0)</f>
        <v>0</v>
      </c>
      <c r="M61" s="50"/>
      <c r="N61" s="50">
        <f ca="1">IFERROR(__xludf.DUMMYFUNCTION("IMPORTRANGE(""https://docs.google.com/spreadsheets/d/1Yj_ptqi66GCucihVvJfMjLAmec39IyEx_6qawtMGysU/edit?usp=sharing"",""สบก!AB33"")"),0)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IFERROR(__xludf.DUMMYFUNCTION("IMPORTRANGE(""https://docs.google.com/spreadsheets/d/11923uPwbBZFjjGgGUA6NLw09EwE0CqkOc4q9oUmW1yo/edit?usp=sharing"",""ลำพูน!I9"")"),1)</f>
        <v>1</v>
      </c>
      <c r="J64" s="142">
        <f ca="1">IFERROR(__xludf.DUMMYFUNCTION("IMPORTRANGE(""https://docs.google.com/spreadsheets/d/11923uPwbBZFjjGgGUA6NLw09EwE0CqkOc4q9oUmW1yo/edit?usp=sharing"",""ลำพูน!J9"")"),1)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IFERROR(__xludf.DUMMYFUNCTION("IMPORTRANGE(""https://docs.google.com/spreadsheets/d/11923uPwbBZFjjGgGUA6NLw09EwE0CqkOc4q9oUmW1yo/edit?usp=sharing"",""ลำพูน!I10"")"),35)</f>
        <v>35</v>
      </c>
      <c r="J65" s="142">
        <f ca="1">IFERROR(__xludf.DUMMYFUNCTION("IMPORTRANGE(""https://docs.google.com/spreadsheets/d/11923uPwbBZFjjGgGUA6NLw09EwE0CqkOc4q9oUmW1yo/edit?usp=sharing"",""ลำพูน!J10"")"),35)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591400</v>
      </c>
      <c r="M66" s="152">
        <f t="shared" ca="1" si="45"/>
        <v>480720</v>
      </c>
      <c r="N66" s="152">
        <f t="shared" ca="1" si="45"/>
        <v>458053</v>
      </c>
      <c r="O66" s="151">
        <f t="shared" ref="O66:O68" ca="1" si="46">IF(L66&gt;0,N66*100/L66,0)</f>
        <v>77.452316537030768</v>
      </c>
      <c r="P66" s="151">
        <f t="shared" ref="P66:P68" ca="1" si="47">IF(M66&gt;0,N66*100/M66,0)</f>
        <v>95.284781161590942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591400</v>
      </c>
      <c r="M68" s="88">
        <f t="shared" ca="1" si="49"/>
        <v>480720</v>
      </c>
      <c r="N68" s="88">
        <f t="shared" ca="1" si="49"/>
        <v>458053</v>
      </c>
      <c r="O68" s="156">
        <f t="shared" ca="1" si="46"/>
        <v>77.452316537030768</v>
      </c>
      <c r="P68" s="156">
        <f t="shared" ca="1" si="47"/>
        <v>95.284781161590942</v>
      </c>
    </row>
    <row r="69" spans="1:16" ht="21.75" customHeight="1" x14ac:dyDescent="0.45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591400</v>
      </c>
      <c r="M70" s="167">
        <f ca="1">IFERROR(__xludf.DUMMYFUNCTION("IMPORTRANGE(""https://docs.google.com/spreadsheets/d/1Yj_ptqi66GCucihVvJfMjLAmec39IyEx_6qawtMGysU/edit?usp=sharing"",""สบก!AI33"")"),480720)</f>
        <v>480720</v>
      </c>
      <c r="N70" s="168">
        <f ca="1">IFERROR(__xludf.DUMMYFUNCTION("IMPORTRANGE(""https://docs.google.com/spreadsheets/d/1Yj_ptqi66GCucihVvJfMjLAmec39IyEx_6qawtMGysU/edit?usp=sharing"",""สบก!AJ33"")"),458053)</f>
        <v>458053</v>
      </c>
      <c r="O70" s="168">
        <f ca="1">IF(L70&gt;0,N70*100/L70,0)</f>
        <v>77.452316537030768</v>
      </c>
      <c r="P70" s="168">
        <f ca="1">IF(M70&gt;0,N70*100/M70,0)</f>
        <v>95.284781161590942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IFERROR(__xludf.DUMMYFUNCTION("IMPORTRANGE(""https://docs.google.com/spreadsheets/d/1Yj_ptqi66GCucihVvJfMjLAmec39IyEx_6qawtMGysU/edit?usp=sharing"",""สบก!AE33"")"),193400)</f>
        <v>193400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IFERROR(__xludf.DUMMYFUNCTION("IMPORTRANGE(""https://docs.google.com/spreadsheets/d/1Yj_ptqi66GCucihVvJfMjLAmec39IyEx_6qawtMGysU/edit?usp=sharing"",""สบก!AF33"")"),398000)</f>
        <v>398000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IFERROR(__xludf.DUMMYFUNCTION("IMPORTRANGE(""https://docs.google.com/spreadsheets/d/1Yj_ptqi66GCucihVvJfMjLAmec39IyEx_6qawtMGysU/edit?usp=sharing"",""สบก!AG33"")"),0)</f>
        <v>0</v>
      </c>
      <c r="M74" s="50"/>
      <c r="N74" s="50">
        <f ca="1">IFERROR(__xludf.DUMMYFUNCTION("IMPORTRANGE(""https://docs.google.com/spreadsheets/d/1Yj_ptqi66GCucihVvJfMjLAmec39IyEx_6qawtMGysU/edit?usp=sharing"",""สบก!AK33"")"),0)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IFERROR(__xludf.DUMMYFUNCTION("IMPORTRANGE(""https://docs.google.com/spreadsheets/d/11923uPwbBZFjjGgGUA6NLw09EwE0CqkOc4q9oUmW1yo/edit?usp=sharing"",""ลำพูน!J16"")"),0)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IFERROR(__xludf.DUMMYFUNCTION("IMPORTRANGE(""https://docs.google.com/spreadsheets/d/11923uPwbBZFjjGgGUA6NLw09EwE0CqkOc4q9oUmW1yo/edit?usp=sharing"",""ลำพูน!J17"")"),1)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IFERROR(__xludf.DUMMYFUNCTION("IMPORTRANGE(""https://docs.google.com/spreadsheets/d/11923uPwbBZFjjGgGUA6NLw09EwE0CqkOc4q9oUmW1yo/edit?usp=sharing"",""ลำพูน!J18"")"),1)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IFERROR(__xludf.DUMMYFUNCTION("IMPORTRANGE(""https://docs.google.com/spreadsheets/d/11923uPwbBZFjjGgGUA6NLw09EwE0CqkOc4q9oUmW1yo/edit?usp=sharing"",""ลำพูน!J19"")"),1)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IFERROR(__xludf.DUMMYFUNCTION("IMPORTRANGE(""https://docs.google.com/spreadsheets/d/11923uPwbBZFjjGgGUA6NLw09EwE0CqkOc4q9oUmW1yo/edit?usp=sharing"",""ลำพูน!I20"")"),1)</f>
        <v>1</v>
      </c>
      <c r="J80" s="200">
        <f ca="1">IFERROR(__xludf.DUMMYFUNCTION("IMPORTRANGE(""https://docs.google.com/spreadsheets/d/11923uPwbBZFjjGgGUA6NLw09EwE0CqkOc4q9oUmW1yo/edit?usp=sharing"",""ลำพูน!J20"")"),1)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IFERROR(__xludf.DUMMYFUNCTION("IMPORTRANGE(""https://docs.google.com/spreadsheets/d/11923uPwbBZFjjGgGUA6NLw09EwE0CqkOc4q9oUmW1yo/edit?usp=sharing"",""ลำพูน!I21"")"),35)</f>
        <v>35</v>
      </c>
      <c r="J81" s="200">
        <f ca="1">IFERROR(__xludf.DUMMYFUNCTION("IMPORTRANGE(""https://docs.google.com/spreadsheets/d/11923uPwbBZFjjGgGUA6NLw09EwE0CqkOc4q9oUmW1yo/edit?usp=sharing"",""ลำพูน!J21"")"),35)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IFERROR(__xludf.DUMMYFUNCTION("IMPORTRANGE(""https://docs.google.com/spreadsheets/d/11923uPwbBZFjjGgGUA6NLw09EwE0CqkOc4q9oUmW1yo/edit?usp=sharing"",""ลำพูน!I22"")"),1)</f>
        <v>1</v>
      </c>
      <c r="J82" s="203">
        <f ca="1">IFERROR(__xludf.DUMMYFUNCTION("IMPORTRANGE(""https://docs.google.com/spreadsheets/d/11923uPwbBZFjjGgGUA6NLw09EwE0CqkOc4q9oUmW1yo/edit?usp=sharing"",""ลำพูน!J22"")"),1)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IFERROR(__xludf.DUMMYFUNCTION("IMPORTRANGE(""https://docs.google.com/spreadsheets/d/11923uPwbBZFjjGgGUA6NLw09EwE0CqkOc4q9oUmW1yo/edit?usp=sharing"",""ลำพูน!I23"")"),35)</f>
        <v>35</v>
      </c>
      <c r="J83" s="203">
        <f ca="1">IFERROR(__xludf.DUMMYFUNCTION("IMPORTRANGE(""https://docs.google.com/spreadsheets/d/11923uPwbBZFjjGgGUA6NLw09EwE0CqkOc4q9oUmW1yo/edit?usp=sharing"",""ลำพูน!J23"")"),35)</f>
        <v>35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IFERROR(__xludf.DUMMYFUNCTION("IMPORTRANGE(""https://docs.google.com/spreadsheets/d/11923uPwbBZFjjGgGUA6NLw09EwE0CqkOc4q9oUmW1yo/edit?usp=sharing"",""ลำพูน!I24"")"),0)</f>
        <v>0</v>
      </c>
      <c r="J84" s="188">
        <f ca="1">IFERROR(__xludf.DUMMYFUNCTION("IMPORTRANGE(""https://docs.google.com/spreadsheets/d/11923uPwbBZFjjGgGUA6NLw09EwE0CqkOc4q9oUmW1yo/edit?usp=sharing"",""ลำพูน!J24"")"),0)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IFERROR(__xludf.DUMMYFUNCTION("IMPORTRANGE(""https://docs.google.com/spreadsheets/d/11923uPwbBZFjjGgGUA6NLw09EwE0CqkOc4q9oUmW1yo/edit?usp=sharing"",""ลำพูน!I25"")"),0)</f>
        <v>0</v>
      </c>
      <c r="J85" s="188">
        <f ca="1">IFERROR(__xludf.DUMMYFUNCTION("IMPORTRANGE(""https://docs.google.com/spreadsheets/d/11923uPwbBZFjjGgGUA6NLw09EwE0CqkOc4q9oUmW1yo/edit?usp=sharing"",""ลำพูน!J25"")"),0)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IFERROR(__xludf.DUMMYFUNCTION("IMPORTRANGE(""https://docs.google.com/spreadsheets/d/11923uPwbBZFjjGgGUA6NLw09EwE0CqkOc4q9oUmW1yo/edit?usp=sharing"",""ลำพูน!I26"")"),0)</f>
        <v>0</v>
      </c>
      <c r="J86" s="203">
        <f ca="1">IFERROR(__xludf.DUMMYFUNCTION("IMPORTRANGE(""https://docs.google.com/spreadsheets/d/11923uPwbBZFjjGgGUA6NLw09EwE0CqkOc4q9oUmW1yo/edit?usp=sharing"",""ลำพูน!J26"")"),0)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IFERROR(__xludf.DUMMYFUNCTION("IMPORTRANGE(""https://docs.google.com/spreadsheets/d/11923uPwbBZFjjGgGUA6NLw09EwE0CqkOc4q9oUmW1yo/edit?usp=sharing"",""ลำพูน!I27"")"),0)</f>
        <v>0</v>
      </c>
      <c r="J87" s="203">
        <f ca="1">IFERROR(__xludf.DUMMYFUNCTION("IMPORTRANGE(""https://docs.google.com/spreadsheets/d/11923uPwbBZFjjGgGUA6NLw09EwE0CqkOc4q9oUmW1yo/edit?usp=sharing"",""ลำพูน!J27"")"),0)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IFERROR(__xludf.DUMMYFUNCTION("IMPORTRANGE(""https://docs.google.com/spreadsheets/d/11923uPwbBZFjjGgGUA6NLw09EwE0CqkOc4q9oUmW1yo/edit?usp=sharing"",""ลำพูน!I28"")"),1)</f>
        <v>1</v>
      </c>
      <c r="J88" s="203">
        <f ca="1">IFERROR(__xludf.DUMMYFUNCTION("IMPORTRANGE(""https://docs.google.com/spreadsheets/d/11923uPwbBZFjjGgGUA6NLw09EwE0CqkOc4q9oUmW1yo/edit?usp=sharing"",""ลำพูน!J28"")"),0)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IFERROR(__xludf.DUMMYFUNCTION("IMPORTRANGE(""https://docs.google.com/spreadsheets/d/11923uPwbBZFjjGgGUA6NLw09EwE0CqkOc4q9oUmW1yo/edit?usp=sharing"",""ลำพูน!J29"")"),0)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IFERROR(__xludf.DUMMYFUNCTION("IMPORTRANGE(""https://docs.google.com/spreadsheets/d/11923uPwbBZFjjGgGUA6NLw09EwE0CqkOc4q9oUmW1yo/edit?usp=sharing"",""ลำพูน!J30"")"),0)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IFERROR(__xludf.DUMMYFUNCTION("IMPORTRANGE(""https://docs.google.com/spreadsheets/d/11923uPwbBZFjjGgGUA6NLw09EwE0CqkOc4q9oUmW1yo/edit?usp=sharing"",""ลำพูน!I32"")"),0)</f>
        <v>0</v>
      </c>
      <c r="J92" s="142">
        <f ca="1">IFERROR(__xludf.DUMMYFUNCTION("IMPORTRANGE(""https://docs.google.com/spreadsheets/d/11923uPwbBZFjjGgGUA6NLw09EwE0CqkOc4q9oUmW1yo/edit?usp=sharing"",""ลำพูน!J32"")"),0)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IFERROR(__xludf.DUMMYFUNCTION("IMPORTRANGE(""https://docs.google.com/spreadsheets/d/11923uPwbBZFjjGgGUA6NLw09EwE0CqkOc4q9oUmW1yo/edit?usp=sharing"",""ลำพูน!I33"")"),0)</f>
        <v>0</v>
      </c>
      <c r="J93" s="142">
        <f ca="1">IFERROR(__xludf.DUMMYFUNCTION("IMPORTRANGE(""https://docs.google.com/spreadsheets/d/11923uPwbBZFjjGgGUA6NLw09EwE0CqkOc4q9oUmW1yo/edit?usp=sharing"",""ลำพูน!J33"")"),0)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IFERROR(__xludf.DUMMYFUNCTION("IMPORTRANGE(""https://docs.google.com/spreadsheets/d/1Yj_ptqi66GCucihVvJfMjLAmec39IyEx_6qawtMGysU/edit?usp=sharing"",""สบก!AR33"")"),0)</f>
        <v>0</v>
      </c>
      <c r="N98" s="168">
        <f ca="1">IFERROR(__xludf.DUMMYFUNCTION("IMPORTRANGE(""https://docs.google.com/spreadsheets/d/1Yj_ptqi66GCucihVvJfMjLAmec39IyEx_6qawtMGysU/edit?usp=sharing"",""สบก!AS33"")"),0)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IFERROR(__xludf.DUMMYFUNCTION("IMPORTRANGE(""https://docs.google.com/spreadsheets/d/1Yj_ptqi66GCucihVvJfMjLAmec39IyEx_6qawtMGysU/edit?usp=sharing"",""สบก!AN33"")"),0)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IFERROR(__xludf.DUMMYFUNCTION("IMPORTRANGE(""https://docs.google.com/spreadsheets/d/1Yj_ptqi66GCucihVvJfMjLAmec39IyEx_6qawtMGysU/edit?usp=sharing"",""สบก!AO33"")"),0)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IFERROR(__xludf.DUMMYFUNCTION("IMPORTRANGE(""https://docs.google.com/spreadsheets/d/1Yj_ptqi66GCucihVvJfMjLAmec39IyEx_6qawtMGysU/edit?usp=sharing"",""สบก!AP33"")"),0)</f>
        <v>0</v>
      </c>
      <c r="M102" s="50"/>
      <c r="N102" s="50">
        <f ca="1">IFERROR(__xludf.DUMMYFUNCTION("IMPORTRANGE(""https://docs.google.com/spreadsheets/d/1Yj_ptqi66GCucihVvJfMjLAmec39IyEx_6qawtMGysU/edit?usp=sharing"",""สบก!AT33"")"),0)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IFERROR(__xludf.DUMMYFUNCTION("IMPORTRANGE(""https://docs.google.com/spreadsheets/d/11923uPwbBZFjjGgGUA6NLw09EwE0CqkOc4q9oUmW1yo/edit?usp=sharing"",""ลำพูน!J39"")"),0)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IFERROR(__xludf.DUMMYFUNCTION("IMPORTRANGE(""https://docs.google.com/spreadsheets/d/11923uPwbBZFjjGgGUA6NLw09EwE0CqkOc4q9oUmW1yo/edit?usp=sharing"",""ลำพูน!J40"")"),0)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IFERROR(__xludf.DUMMYFUNCTION("IMPORTRANGE(""https://docs.google.com/spreadsheets/d/11923uPwbBZFjjGgGUA6NLw09EwE0CqkOc4q9oUmW1yo/edit?usp=sharing"",""ลำพูน!J41"")"),0)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IFERROR(__xludf.DUMMYFUNCTION("IMPORTRANGE(""https://docs.google.com/spreadsheets/d/11923uPwbBZFjjGgGUA6NLw09EwE0CqkOc4q9oUmW1yo/edit?usp=sharing"",""ลำพูน!J42"")"),0)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IFERROR(__xludf.DUMMYFUNCTION("IMPORTRANGE(""https://docs.google.com/spreadsheets/d/11923uPwbBZFjjGgGUA6NLw09EwE0CqkOc4q9oUmW1yo/edit?usp=sharing"",""ลำพูน!I43"")"),0)</f>
        <v>0</v>
      </c>
      <c r="J108" s="203">
        <f ca="1">IFERROR(__xludf.DUMMYFUNCTION("IMPORTRANGE(""https://docs.google.com/spreadsheets/d/11923uPwbBZFjjGgGUA6NLw09EwE0CqkOc4q9oUmW1yo/edit?usp=sharing"",""ลำพูน!J43"")"),0)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IFERROR(__xludf.DUMMYFUNCTION("IMPORTRANGE(""https://docs.google.com/spreadsheets/d/11923uPwbBZFjjGgGUA6NLw09EwE0CqkOc4q9oUmW1yo/edit?usp=sharing"",""ลำพูน!I44"")"),0)</f>
        <v>0</v>
      </c>
      <c r="J109" s="203">
        <f ca="1">IFERROR(__xludf.DUMMYFUNCTION("IMPORTRANGE(""https://docs.google.com/spreadsheets/d/11923uPwbBZFjjGgGUA6NLw09EwE0CqkOc4q9oUmW1yo/edit?usp=sharing"",""ลำพูน!J44"")"),0)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IFERROR(__xludf.DUMMYFUNCTION("IMPORTRANGE(""https://docs.google.com/spreadsheets/d/11923uPwbBZFjjGgGUA6NLw09EwE0CqkOc4q9oUmW1yo/edit?usp=sharing"",""ลำพูน!I45"")"),0)</f>
        <v>0</v>
      </c>
      <c r="J110" s="203">
        <f ca="1">IFERROR(__xludf.DUMMYFUNCTION("IMPORTRANGE(""https://docs.google.com/spreadsheets/d/11923uPwbBZFjjGgGUA6NLw09EwE0CqkOc4q9oUmW1yo/edit?usp=sharing"",""ลำพูน!J45"")"),0)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IFERROR(__xludf.DUMMYFUNCTION("IMPORTRANGE(""https://docs.google.com/spreadsheets/d/11923uPwbBZFjjGgGUA6NLw09EwE0CqkOc4q9oUmW1yo/edit?usp=sharing"",""ลำพูน!I46"")"),0)</f>
        <v>0</v>
      </c>
      <c r="J111" s="203">
        <f ca="1">IFERROR(__xludf.DUMMYFUNCTION("IMPORTRANGE(""https://docs.google.com/spreadsheets/d/11923uPwbBZFjjGgGUA6NLw09EwE0CqkOc4q9oUmW1yo/edit?usp=sharing"",""ลำพูน!J46"")"),0)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IFERROR(__xludf.DUMMYFUNCTION("IMPORTRANGE(""https://docs.google.com/spreadsheets/d/11923uPwbBZFjjGgGUA6NLw09EwE0CqkOc4q9oUmW1yo/edit?usp=sharing"",""ลำพูน!I47"")"),0)</f>
        <v>0</v>
      </c>
      <c r="J112" s="203">
        <f ca="1">IFERROR(__xludf.DUMMYFUNCTION("IMPORTRANGE(""https://docs.google.com/spreadsheets/d/11923uPwbBZFjjGgGUA6NLw09EwE0CqkOc4q9oUmW1yo/edit?usp=sharing"",""ลำพูน!J47"")"),0)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IFERROR(__xludf.DUMMYFUNCTION("IMPORTRANGE(""https://docs.google.com/spreadsheets/d/11923uPwbBZFjjGgGUA6NLw09EwE0CqkOc4q9oUmW1yo/edit?usp=sharing"",""ลำพูน!I48"")"),0)</f>
        <v>0</v>
      </c>
      <c r="J113" s="203">
        <f ca="1">IFERROR(__xludf.DUMMYFUNCTION("IMPORTRANGE(""https://docs.google.com/spreadsheets/d/11923uPwbBZFjjGgGUA6NLw09EwE0CqkOc4q9oUmW1yo/edit?usp=sharing"",""ลำพูน!J48"")"),0)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IFERROR(__xludf.DUMMYFUNCTION("IMPORTRANGE(""https://docs.google.com/spreadsheets/d/11923uPwbBZFjjGgGUA6NLw09EwE0CqkOc4q9oUmW1yo/edit?usp=sharing"",""ลำพูน!J49"")"),0)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IFERROR(__xludf.DUMMYFUNCTION("IMPORTRANGE(""https://docs.google.com/spreadsheets/d/11923uPwbBZFjjGgGUA6NLw09EwE0CqkOc4q9oUmW1yo/edit?usp=sharing"",""ลำพูน!J50"")"),0)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IFERROR(__xludf.DUMMYFUNCTION("IMPORTRANGE(""https://docs.google.com/spreadsheets/d/11923uPwbBZFjjGgGUA6NLw09EwE0CqkOc4q9oUmW1yo/edit?usp=sharing"",""ลำพูน!I52"")"),20)</f>
        <v>20</v>
      </c>
      <c r="J117" s="142">
        <f ca="1">IFERROR(__xludf.DUMMYFUNCTION("IMPORTRANGE(""https://docs.google.com/spreadsheets/d/11923uPwbBZFjjGgGUA6NLw09EwE0CqkOc4q9oUmW1yo/edit?usp=sharing"",""ลำพูน!J52"")"),20)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57380</v>
      </c>
      <c r="O118" s="151">
        <f t="shared" ref="O118:O120" ca="1" si="59">IF(L118&gt;0,N118*100/L118,0)</f>
        <v>69.602134885977677</v>
      </c>
      <c r="P118" s="151">
        <f t="shared" ref="P118:P120" ca="1" si="60">IF(M118&gt;0,N118*100/M118,0)</f>
        <v>69.602134885977677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57380</v>
      </c>
      <c r="O120" s="156">
        <f t="shared" ca="1" si="59"/>
        <v>69.602134885977677</v>
      </c>
      <c r="P120" s="156">
        <f t="shared" ca="1" si="60"/>
        <v>69.602134885977677</v>
      </c>
    </row>
    <row r="121" spans="1:16" ht="21.75" customHeight="1" x14ac:dyDescent="0.45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IFERROR(__xludf.DUMMYFUNCTION("IMPORTRANGE(""https://docs.google.com/spreadsheets/d/1Yj_ptqi66GCucihVvJfMjLAmec39IyEx_6qawtMGysU/edit?usp=sharing"",""สบก!BA33"")"),82440)</f>
        <v>82440</v>
      </c>
      <c r="N122" s="168">
        <f ca="1">IFERROR(__xludf.DUMMYFUNCTION("IMPORTRANGE(""https://docs.google.com/spreadsheets/d/1Yj_ptqi66GCucihVvJfMjLAmec39IyEx_6qawtMGysU/edit?usp=sharing"",""สบก!BB33"")"),57380)</f>
        <v>57380</v>
      </c>
      <c r="O122" s="168">
        <f ca="1">IF(L122&gt;0,N122*100/L122,0)</f>
        <v>69.602134885977677</v>
      </c>
      <c r="P122" s="168">
        <f ca="1">IF(M122&gt;0,N122*100/M122,0)</f>
        <v>69.602134885977677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IFERROR(__xludf.DUMMYFUNCTION("IMPORTRANGE(""https://docs.google.com/spreadsheets/d/1Yj_ptqi66GCucihVvJfMjLAmec39IyEx_6qawtMGysU/edit?usp=sharing"",""สบก!AW33"")"),0)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IFERROR(__xludf.DUMMYFUNCTION("IMPORTRANGE(""https://docs.google.com/spreadsheets/d/1Yj_ptqi66GCucihVvJfMjLAmec39IyEx_6qawtMGysU/edit?usp=sharing"",""สบก!AX33"")"),82440)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IFERROR(__xludf.DUMMYFUNCTION("IMPORTRANGE(""https://docs.google.com/spreadsheets/d/1Yj_ptqi66GCucihVvJfMjLAmec39IyEx_6qawtMGysU/edit?usp=sharing"",""สบก!AY33"")"),0)</f>
        <v>0</v>
      </c>
      <c r="M126" s="50"/>
      <c r="N126" s="50">
        <f ca="1">IFERROR(__xludf.DUMMYFUNCTION("IMPORTRANGE(""https://docs.google.com/spreadsheets/d/1Yj_ptqi66GCucihVvJfMjLAmec39IyEx_6qawtMGysU/edit?usp=sharing"",""สบก!BC33"")"),0)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287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IFERROR(__xludf.DUMMYFUNCTION("IMPORTRANGE(""https://docs.google.com/spreadsheets/d/11923uPwbBZFjjGgGUA6NLw09EwE0CqkOc4q9oUmW1yo/edit?usp=sharing"",""ลำพูน!J58"")"),0)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IFERROR(__xludf.DUMMYFUNCTION("IMPORTRANGE(""https://docs.google.com/spreadsheets/d/11923uPwbBZFjjGgGUA6NLw09EwE0CqkOc4q9oUmW1yo/edit?usp=sharing"",""ลำพูน!J59"")"),1)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IFERROR(__xludf.DUMMYFUNCTION("IMPORTRANGE(""https://docs.google.com/spreadsheets/d/11923uPwbBZFjjGgGUA6NLw09EwE0CqkOc4q9oUmW1yo/edit?usp=sharing"",""ลำพูน!J60"")"),1)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IFERROR(__xludf.DUMMYFUNCTION("IMPORTRANGE(""https://docs.google.com/spreadsheets/d/11923uPwbBZFjjGgGUA6NLw09EwE0CqkOc4q9oUmW1yo/edit?usp=sharing"",""ลำพูน!J61"")"),1)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IFERROR(__xludf.DUMMYFUNCTION("IMPORTRANGE(""https://docs.google.com/spreadsheets/d/11923uPwbBZFjjGgGUA6NLw09EwE0CqkOc4q9oUmW1yo/edit?usp=sharing"",""ลำพูน!I62"")"),20)</f>
        <v>20</v>
      </c>
      <c r="J132" s="203">
        <f ca="1">IFERROR(__xludf.DUMMYFUNCTION("IMPORTRANGE(""https://docs.google.com/spreadsheets/d/11923uPwbBZFjjGgGUA6NLw09EwE0CqkOc4q9oUmW1yo/edit?usp=sharing"",""ลำพูน!J62"")"),20)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IFERROR(__xludf.DUMMYFUNCTION("IMPORTRANGE(""https://docs.google.com/spreadsheets/d/11923uPwbBZFjjGgGUA6NLw09EwE0CqkOc4q9oUmW1yo/edit?usp=sharing"",""ลำพูน!I63"")"),20)</f>
        <v>20</v>
      </c>
      <c r="J133" s="203">
        <f ca="1">IFERROR(__xludf.DUMMYFUNCTION("IMPORTRANGE(""https://docs.google.com/spreadsheets/d/11923uPwbBZFjjGgGUA6NLw09EwE0CqkOc4q9oUmW1yo/edit?usp=sharing"",""ลำพูน!J63"")"),20)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IFERROR(__xludf.DUMMYFUNCTION("IMPORTRANGE(""https://docs.google.com/spreadsheets/d/11923uPwbBZFjjGgGUA6NLw09EwE0CqkOc4q9oUmW1yo/edit?usp=sharing"",""ลำพูน!J64"")"),0)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IFERROR(__xludf.DUMMYFUNCTION("IMPORTRANGE(""https://docs.google.com/spreadsheets/d/11923uPwbBZFjjGgGUA6NLw09EwE0CqkOc4q9oUmW1yo/edit?usp=sharing"",""ลำพูน!J65"")"),0)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IFERROR(__xludf.DUMMYFUNCTION("IMPORTRANGE(""https://docs.google.com/spreadsheets/d/11923uPwbBZFjjGgGUA6NLw09EwE0CqkOc4q9oUmW1yo/edit?usp=sharing"",""ลำพูน!I68"")"),150)</f>
        <v>150</v>
      </c>
      <c r="J138" s="267">
        <f ca="1">IFERROR(__xludf.DUMMYFUNCTION("IMPORTRANGE(""https://docs.google.com/spreadsheets/d/11923uPwbBZFjjGgGUA6NLw09EwE0CqkOc4q9oUmW1yo/edit?usp=sharing"",""ลำพูน!J68"")"),150)</f>
        <v>150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1352900</v>
      </c>
      <c r="M140" s="152">
        <f t="shared" ca="1" si="64"/>
        <v>1177025</v>
      </c>
      <c r="N140" s="152">
        <f t="shared" ca="1" si="64"/>
        <v>932110.76</v>
      </c>
      <c r="O140" s="151">
        <f t="shared" ref="O140:O142" ca="1" si="65">IF(L140&gt;0,N140*100/L140,0)</f>
        <v>68.897240002956607</v>
      </c>
      <c r="P140" s="151">
        <f t="shared" ref="P140:P142" ca="1" si="66">IF(M140&gt;0,N140*100/M140,0)</f>
        <v>79.192095325078057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1352900</v>
      </c>
      <c r="M142" s="88">
        <f t="shared" ca="1" si="68"/>
        <v>1177025</v>
      </c>
      <c r="N142" s="88">
        <f t="shared" ca="1" si="68"/>
        <v>932110.76</v>
      </c>
      <c r="O142" s="156">
        <f t="shared" ca="1" si="65"/>
        <v>68.897240002956607</v>
      </c>
      <c r="P142" s="156">
        <f t="shared" ca="1" si="66"/>
        <v>79.192095325078057</v>
      </c>
    </row>
    <row r="143" spans="1:16" ht="21.75" customHeight="1" x14ac:dyDescent="0.45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1114900</v>
      </c>
      <c r="M144" s="167">
        <f ca="1">IFERROR(__xludf.DUMMYFUNCTION("IMPORTRANGE(""https://docs.google.com/spreadsheets/d/1Yj_ptqi66GCucihVvJfMjLAmec39IyEx_6qawtMGysU/edit?usp=sharing"",""สบก!BJ33"")"),939025)</f>
        <v>939025</v>
      </c>
      <c r="N144" s="168">
        <f ca="1">IFERROR(__xludf.DUMMYFUNCTION("IMPORTRANGE(""https://docs.google.com/spreadsheets/d/1Yj_ptqi66GCucihVvJfMjLAmec39IyEx_6qawtMGysU/edit?usp=sharing"",""สบก!BK33"")"),694110.76)</f>
        <v>694110.76</v>
      </c>
      <c r="O144" s="168">
        <f ca="1">IF(L144&gt;0,N144*100/L144,0)</f>
        <v>62.257669746165575</v>
      </c>
      <c r="P144" s="168">
        <f ca="1">IF(M144&gt;0,N144*100/M144,0)</f>
        <v>73.918240728415114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IFERROR(__xludf.DUMMYFUNCTION("IMPORTRANGE(""https://docs.google.com/spreadsheets/d/1Yj_ptqi66GCucihVvJfMjLAmec39IyEx_6qawtMGysU/edit?usp=sharing"",""สบก!BF33"")"),264000)</f>
        <v>264000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IFERROR(__xludf.DUMMYFUNCTION("IMPORTRANGE(""https://docs.google.com/spreadsheets/d/1Yj_ptqi66GCucihVvJfMjLAmec39IyEx_6qawtMGysU/edit?usp=sharing"",""สบก!BG33"")"),850900)</f>
        <v>850900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IFERROR(__xludf.DUMMYFUNCTION("IMPORTRANGE(""https://docs.google.com/spreadsheets/d/1Yj_ptqi66GCucihVvJfMjLAmec39IyEx_6qawtMGysU/edit?usp=sharing"",""สบก!BH33"")"),238000)</f>
        <v>238000</v>
      </c>
      <c r="M148" s="50">
        <f ca="1">L148</f>
        <v>238000</v>
      </c>
      <c r="N148" s="50">
        <f ca="1">IFERROR(__xludf.DUMMYFUNCTION("IMPORTRANGE(""https://docs.google.com/spreadsheets/d/1Yj_ptqi66GCucihVvJfMjLAmec39IyEx_6qawtMGysU/edit?usp=sharing"",""สบก!BL33"")"),238000)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IFERROR(__xludf.DUMMYFUNCTION("IMPORTRANGE(""https://docs.google.com/spreadsheets/d/11923uPwbBZFjjGgGUA6NLw09EwE0CqkOc4q9oUmW1yo/edit?usp=sharing"",""ลำพูน!I74"")"),4)</f>
        <v>4</v>
      </c>
      <c r="J149" s="275">
        <f ca="1">IFERROR(__xludf.DUMMYFUNCTION("IMPORTRANGE(""https://docs.google.com/spreadsheets/d/11923uPwbBZFjjGgGUA6NLw09EwE0CqkOc4q9oUmW1yo/edit?usp=sharing"",""ลำพูน!J74"")"),3)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IFERROR(__xludf.DUMMYFUNCTION("IMPORTRANGE(""https://docs.google.com/spreadsheets/d/11923uPwbBZFjjGgGUA6NLw09EwE0CqkOc4q9oUmW1yo/edit?usp=sharing"",""ลำพูน!J79"")"),0)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IFERROR(__xludf.DUMMYFUNCTION("IMPORTRANGE(""https://docs.google.com/spreadsheets/d/11923uPwbBZFjjGgGUA6NLw09EwE0CqkOc4q9oUmW1yo/edit?usp=sharing"",""ลำพูน!J80"")"),1)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IFERROR(__xludf.DUMMYFUNCTION("IMPORTRANGE(""https://docs.google.com/spreadsheets/d/11923uPwbBZFjjGgGUA6NLw09EwE0CqkOc4q9oUmW1yo/edit?usp=sharing"",""ลำพูน!J81"")"),1)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IFERROR(__xludf.DUMMYFUNCTION("IMPORTRANGE(""https://docs.google.com/spreadsheets/d/11923uPwbBZFjjGgGUA6NLw09EwE0CqkOc4q9oUmW1yo/edit?usp=sharing"",""ลำพูน!J82"")"),1)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IFERROR(__xludf.DUMMYFUNCTION("IMPORTRANGE(""https://docs.google.com/spreadsheets/d/11923uPwbBZFjjGgGUA6NLw09EwE0CqkOc4q9oUmW1yo/edit?usp=sharing"",""ลำพูน!I83"")"),4)</f>
        <v>4</v>
      </c>
      <c r="J158" s="188">
        <f ca="1">IFERROR(__xludf.DUMMYFUNCTION("IMPORTRANGE(""https://docs.google.com/spreadsheets/d/11923uPwbBZFjjGgGUA6NLw09EwE0CqkOc4q9oUmW1yo/edit?usp=sharing"",""ลำพูน!J83"")"),3)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IFERROR(__xludf.DUMMYFUNCTION("IMPORTRANGE(""https://docs.google.com/spreadsheets/d/11923uPwbBZFjjGgGUA6NLw09EwE0CqkOc4q9oUmW1yo/edit?usp=sharing"",""ลำพูน!J84"")"),151)</f>
        <v>151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IFERROR(__xludf.DUMMYFUNCTION("IMPORTRANGE(""https://docs.google.com/spreadsheets/d/11923uPwbBZFjjGgGUA6NLw09EwE0CqkOc4q9oUmW1yo/edit?usp=sharing"",""ลำพูน!J85"")"),151)</f>
        <v>151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IFERROR(__xludf.DUMMYFUNCTION("IMPORTRANGE(""https://docs.google.com/spreadsheets/d/11923uPwbBZFjjGgGUA6NLw09EwE0CqkOc4q9oUmW1yo/edit?usp=sharing"",""ลำพูน!J86"")"),0)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IFERROR(__xludf.DUMMYFUNCTION("IMPORTRANGE(""https://docs.google.com/spreadsheets/d/11923uPwbBZFjjGgGUA6NLw09EwE0CqkOc4q9oUmW1yo/edit?usp=sharing"",""ลำพูน!J87"")"),0)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IFERROR(__xludf.DUMMYFUNCTION("IMPORTRANGE(""https://docs.google.com/spreadsheets/d/11923uPwbBZFjjGgGUA6NLw09EwE0CqkOc4q9oUmW1yo/edit?usp=sharing"",""ลำพูน!J88"")"),0)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IFERROR(__xludf.DUMMYFUNCTION("IMPORTRANGE(""https://docs.google.com/spreadsheets/d/11923uPwbBZFjjGgGUA6NLw09EwE0CqkOc4q9oUmW1yo/edit?usp=sharing"",""ลำพูน!I89"")"),2)</f>
        <v>2</v>
      </c>
      <c r="J164" s="284">
        <f ca="1">IFERROR(__xludf.DUMMYFUNCTION("IMPORTRANGE(""https://docs.google.com/spreadsheets/d/11923uPwbBZFjjGgGUA6NLw09EwE0CqkOc4q9oUmW1yo/edit?usp=sharing"",""ลำพูน!J89"")"),2)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IFERROR(__xludf.DUMMYFUNCTION("IMPORTRANGE(""https://docs.google.com/spreadsheets/d/11923uPwbBZFjjGgGUA6NLw09EwE0CqkOc4q9oUmW1yo/edit?usp=sharing"",""ลำพูน!J94"")"),0)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IFERROR(__xludf.DUMMYFUNCTION("IMPORTRANGE(""https://docs.google.com/spreadsheets/d/11923uPwbBZFjjGgGUA6NLw09EwE0CqkOc4q9oUmW1yo/edit?usp=sharing"",""ลำพูน!J95"")"),1)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IFERROR(__xludf.DUMMYFUNCTION("IMPORTRANGE(""https://docs.google.com/spreadsheets/d/11923uPwbBZFjjGgGUA6NLw09EwE0CqkOc4q9oUmW1yo/edit?usp=sharing"",""ลำพูน!J96"")"),1)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IFERROR(__xludf.DUMMYFUNCTION("IMPORTRANGE(""https://docs.google.com/spreadsheets/d/11923uPwbBZFjjGgGUA6NLw09EwE0CqkOc4q9oUmW1yo/edit?usp=sharing"",""ลำพูน!J97"")"),0)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IFERROR(__xludf.DUMMYFUNCTION("IMPORTRANGE(""https://docs.google.com/spreadsheets/d/11923uPwbBZFjjGgGUA6NLw09EwE0CqkOc4q9oUmW1yo/edit?usp=sharing"",""ลำพูน!I98"")"),2)</f>
        <v>2</v>
      </c>
      <c r="J173" s="188">
        <f ca="1">IFERROR(__xludf.DUMMYFUNCTION("IMPORTRANGE(""https://docs.google.com/spreadsheets/d/11923uPwbBZFjjGgGUA6NLw09EwE0CqkOc4q9oUmW1yo/edit?usp=sharing"",""ลำพูน!J98"")"),2)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IFERROR(__xludf.DUMMYFUNCTION("IMPORTRANGE(""https://docs.google.com/spreadsheets/d/11923uPwbBZFjjGgGUA6NLw09EwE0CqkOc4q9oUmW1yo/edit?usp=sharing"",""ลำพูน!J99"")"),0)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IFERROR(__xludf.DUMMYFUNCTION("IMPORTRANGE(""https://docs.google.com/spreadsheets/d/11923uPwbBZFjjGgGUA6NLw09EwE0CqkOc4q9oUmW1yo/edit?usp=sharing"",""ลำพูน!J100"")"),0)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IFERROR(__xludf.DUMMYFUNCTION("IMPORTRANGE(""https://docs.google.com/spreadsheets/d/11923uPwbBZFjjGgGUA6NLw09EwE0CqkOc4q9oUmW1yo/edit?usp=sharing"",""ลำพูน!I101"")"),0)</f>
        <v>0</v>
      </c>
      <c r="J176" s="284">
        <f ca="1">IFERROR(__xludf.DUMMYFUNCTION("IMPORTRANGE(""https://docs.google.com/spreadsheets/d/11923uPwbBZFjjGgGUA6NLw09EwE0CqkOc4q9oUmW1yo/edit?usp=sharing"",""ลำพูน!J101"")"),0)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IFERROR(__xludf.DUMMYFUNCTION("IMPORTRANGE(""https://docs.google.com/spreadsheets/d/11923uPwbBZFjjGgGUA6NLw09EwE0CqkOc4q9oUmW1yo/edit?usp=sharing"",""ลำพูน!J106"")"),0)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IFERROR(__xludf.DUMMYFUNCTION("IMPORTRANGE(""https://docs.google.com/spreadsheets/d/11923uPwbBZFjjGgGUA6NLw09EwE0CqkOc4q9oUmW1yo/edit?usp=sharing"",""ลำพูน!J107"")"),0)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IFERROR(__xludf.DUMMYFUNCTION("IMPORTRANGE(""https://docs.google.com/spreadsheets/d/11923uPwbBZFjjGgGUA6NLw09EwE0CqkOc4q9oUmW1yo/edit?usp=sharing"",""ลำพูน!J108"")"),0)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IFERROR(__xludf.DUMMYFUNCTION("IMPORTRANGE(""https://docs.google.com/spreadsheets/d/11923uPwbBZFjjGgGUA6NLw09EwE0CqkOc4q9oUmW1yo/edit?usp=sharing"",""ลำพูน!J109"")"),0)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IFERROR(__xludf.DUMMYFUNCTION("IMPORTRANGE(""https://docs.google.com/spreadsheets/d/11923uPwbBZFjjGgGUA6NLw09EwE0CqkOc4q9oUmW1yo/edit?usp=sharing"",""ลำพูน!I110"")"),0)</f>
        <v>0</v>
      </c>
      <c r="J185" s="203">
        <f ca="1">IFERROR(__xludf.DUMMYFUNCTION("IMPORTRANGE(""https://docs.google.com/spreadsheets/d/11923uPwbBZFjjGgGUA6NLw09EwE0CqkOc4q9oUmW1yo/edit?usp=sharing"",""ลำพูน!J110"")"),0)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IFERROR(__xludf.DUMMYFUNCTION("IMPORTRANGE(""https://docs.google.com/spreadsheets/d/11923uPwbBZFjjGgGUA6NLw09EwE0CqkOc4q9oUmW1yo/edit?usp=sharing"",""ลำพูน!I111"")"),0)</f>
        <v>0</v>
      </c>
      <c r="J186" s="203">
        <f ca="1">IFERROR(__xludf.DUMMYFUNCTION("IMPORTRANGE(""https://docs.google.com/spreadsheets/d/11923uPwbBZFjjGgGUA6NLw09EwE0CqkOc4q9oUmW1yo/edit?usp=sharing"",""ลำพูน!J111"")"),0)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IFERROR(__xludf.DUMMYFUNCTION("IMPORTRANGE(""https://docs.google.com/spreadsheets/d/11923uPwbBZFjjGgGUA6NLw09EwE0CqkOc4q9oUmW1yo/edit?usp=sharing"",""ลำพูน!J112"")"),0)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IFERROR(__xludf.DUMMYFUNCTION("IMPORTRANGE(""https://docs.google.com/spreadsheets/d/11923uPwbBZFjjGgGUA6NLw09EwE0CqkOc4q9oUmW1yo/edit?usp=sharing"",""ลำพูน!J113"")"),0)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IFERROR(__xludf.DUMMYFUNCTION("IMPORTRANGE(""https://docs.google.com/spreadsheets/d/11923uPwbBZFjjGgGUA6NLw09EwE0CqkOc4q9oUmW1yo/edit?usp=sharing"",""ลำพูน!I114"")"),100000)</f>
        <v>100000</v>
      </c>
      <c r="J189" s="284">
        <f ca="1">IFERROR(__xludf.DUMMYFUNCTION("IMPORTRANGE(""https://docs.google.com/spreadsheets/d/11923uPwbBZFjjGgGUA6NLw09EwE0CqkOc4q9oUmW1yo/edit?usp=sharing"",""ลำพูน!J114"")"),0)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IFERROR(__xludf.DUMMYFUNCTION("IMPORTRANGE(""https://docs.google.com/spreadsheets/d/11923uPwbBZFjjGgGUA6NLw09EwE0CqkOc4q9oUmW1yo/edit?usp=sharing"",""ลำพูน!J119"")"),1)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IFERROR(__xludf.DUMMYFUNCTION("IMPORTRANGE(""https://docs.google.com/spreadsheets/d/11923uPwbBZFjjGgGUA6NLw09EwE0CqkOc4q9oUmW1yo/edit?usp=sharing"",""ลำพูน!J120"")"),0)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IFERROR(__xludf.DUMMYFUNCTION("IMPORTRANGE(""https://docs.google.com/spreadsheets/d/11923uPwbBZFjjGgGUA6NLw09EwE0CqkOc4q9oUmW1yo/edit?usp=sharing"",""ลำพูน!J121"")"),0)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IFERROR(__xludf.DUMMYFUNCTION("IMPORTRANGE(""https://docs.google.com/spreadsheets/d/11923uPwbBZFjjGgGUA6NLw09EwE0CqkOc4q9oUmW1yo/edit?usp=sharing"",""ลำพูน!J122"")"),0)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IFERROR(__xludf.DUMMYFUNCTION("IMPORTRANGE(""https://docs.google.com/spreadsheets/d/11923uPwbBZFjjGgGUA6NLw09EwE0CqkOc4q9oUmW1yo/edit?usp=sharing"",""ลำพูน!I124"")"),100000)</f>
        <v>100000</v>
      </c>
      <c r="J199" s="188">
        <f ca="1">IFERROR(__xludf.DUMMYFUNCTION("IMPORTRANGE(""https://docs.google.com/spreadsheets/d/11923uPwbBZFjjGgGUA6NLw09EwE0CqkOc4q9oUmW1yo/edit?usp=sharing"",""ลำพูน!J124"")"),0)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IFERROR(__xludf.DUMMYFUNCTION("IMPORTRANGE(""https://docs.google.com/spreadsheets/d/11923uPwbBZFjjGgGUA6NLw09EwE0CqkOc4q9oUmW1yo/edit?usp=sharing"",""ลำพูน!I125"")"),100000)</f>
        <v>100000</v>
      </c>
      <c r="J200" s="188">
        <f ca="1">IFERROR(__xludf.DUMMYFUNCTION("IMPORTRANGE(""https://docs.google.com/spreadsheets/d/11923uPwbBZFjjGgGUA6NLw09EwE0CqkOc4q9oUmW1yo/edit?usp=sharing"",""ลำพูน!J125"")"),0)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IFERROR(__xludf.DUMMYFUNCTION("IMPORTRANGE(""https://docs.google.com/spreadsheets/d/11923uPwbBZFjjGgGUA6NLw09EwE0CqkOc4q9oUmW1yo/edit?usp=sharing"",""ลำพูน!I126"")"),0)</f>
        <v>0</v>
      </c>
      <c r="J201" s="188">
        <f ca="1">IFERROR(__xludf.DUMMYFUNCTION("IMPORTRANGE(""https://docs.google.com/spreadsheets/d/11923uPwbBZFjjGgGUA6NLw09EwE0CqkOc4q9oUmW1yo/edit?usp=sharing"",""ลำพูน!J126"")"),0)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IFERROR(__xludf.DUMMYFUNCTION("IMPORTRANGE(""https://docs.google.com/spreadsheets/d/11923uPwbBZFjjGgGUA6NLw09EwE0CqkOc4q9oUmW1yo/edit?usp=sharing"",""ลำพูน!J127"")"),0)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IFERROR(__xludf.DUMMYFUNCTION("IMPORTRANGE(""https://docs.google.com/spreadsheets/d/11923uPwbBZFjjGgGUA6NLw09EwE0CqkOc4q9oUmW1yo/edit?usp=sharing"",""ลำพูน!J128"")"),0)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IFERROR(__xludf.DUMMYFUNCTION("IMPORTRANGE(""https://docs.google.com/spreadsheets/d/11923uPwbBZFjjGgGUA6NLw09EwE0CqkOc4q9oUmW1yo/edit?usp=sharing"",""ลำพูน!I129"")"),150)</f>
        <v>150</v>
      </c>
      <c r="J204" s="284">
        <f ca="1">IFERROR(__xludf.DUMMYFUNCTION("IMPORTRANGE(""https://docs.google.com/spreadsheets/d/11923uPwbBZFjjGgGUA6NLw09EwE0CqkOc4q9oUmW1yo/edit?usp=sharing"",""ลำพูน!J129"")"),150)</f>
        <v>150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IFERROR(__xludf.DUMMYFUNCTION("IMPORTRANGE(""https://docs.google.com/spreadsheets/d/11923uPwbBZFjjGgGUA6NLw09EwE0CqkOc4q9oUmW1yo/edit?usp=sharing"",""ลำพูน!J134"")"),0)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IFERROR(__xludf.DUMMYFUNCTION("IMPORTRANGE(""https://docs.google.com/spreadsheets/d/11923uPwbBZFjjGgGUA6NLw09EwE0CqkOc4q9oUmW1yo/edit?usp=sharing"",""ลำพูน!J135"")"),1)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IFERROR(__xludf.DUMMYFUNCTION("IMPORTRANGE(""https://docs.google.com/spreadsheets/d/11923uPwbBZFjjGgGUA6NLw09EwE0CqkOc4q9oUmW1yo/edit?usp=sharing"",""ลำพูน!J136"")"),0)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IFERROR(__xludf.DUMMYFUNCTION("IMPORTRANGE(""https://docs.google.com/spreadsheets/d/11923uPwbBZFjjGgGUA6NLw09EwE0CqkOc4q9oUmW1yo/edit?usp=sharing"",""ลำพูน!J137"")"),1)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IFERROR(__xludf.DUMMYFUNCTION("IMPORTRANGE(""https://docs.google.com/spreadsheets/d/11923uPwbBZFjjGgGUA6NLw09EwE0CqkOc4q9oUmW1yo/edit?usp=sharing"",""ลำพูน!I138"")"),150)</f>
        <v>150</v>
      </c>
      <c r="J213" s="203">
        <f ca="1">IFERROR(__xludf.DUMMYFUNCTION("IMPORTRANGE(""https://docs.google.com/spreadsheets/d/11923uPwbBZFjjGgGUA6NLw09EwE0CqkOc4q9oUmW1yo/edit?usp=sharing"",""ลำพูน!J138"")"),150)</f>
        <v>150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IFERROR(__xludf.DUMMYFUNCTION("IMPORTRANGE(""https://docs.google.com/spreadsheets/d/11923uPwbBZFjjGgGUA6NLw09EwE0CqkOc4q9oUmW1yo/edit?usp=sharing"",""ลำพูน!I140"")"),0)</f>
        <v>0</v>
      </c>
      <c r="J215" s="203">
        <f ca="1">IFERROR(__xludf.DUMMYFUNCTION("IMPORTRANGE(""https://docs.google.com/spreadsheets/d/11923uPwbBZFjjGgGUA6NLw09EwE0CqkOc4q9oUmW1yo/edit?usp=sharing"",""ลำพูน!J140"")"),0)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IFERROR(__xludf.DUMMYFUNCTION("IMPORTRANGE(""https://docs.google.com/spreadsheets/d/11923uPwbBZFjjGgGUA6NLw09EwE0CqkOc4q9oUmW1yo/edit?usp=sharing"",""ลำพูน!I141"")"),3)</f>
        <v>3</v>
      </c>
      <c r="J216" s="203">
        <f ca="1">IFERROR(__xludf.DUMMYFUNCTION("IMPORTRANGE(""https://docs.google.com/spreadsheets/d/11923uPwbBZFjjGgGUA6NLw09EwE0CqkOc4q9oUmW1yo/edit?usp=sharing"",""ลำพูน!J141"")"),0)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IFERROR(__xludf.DUMMYFUNCTION("IMPORTRANGE(""https://docs.google.com/spreadsheets/d/11923uPwbBZFjjGgGUA6NLw09EwE0CqkOc4q9oUmW1yo/edit?usp=sharing"",""ลำพูน!J142"")"),0)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IFERROR(__xludf.DUMMYFUNCTION("IMPORTRANGE(""https://docs.google.com/spreadsheets/d/11923uPwbBZFjjGgGUA6NLw09EwE0CqkOc4q9oUmW1yo/edit?usp=sharing"",""ลำพูน!J143"")"),0)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IFERROR(__xludf.DUMMYFUNCTION("IMPORTRANGE(""https://docs.google.com/spreadsheets/d/11923uPwbBZFjjGgGUA6NLw09EwE0CqkOc4q9oUmW1yo/edit?usp=sharing"",""ลำพูน!I144"")"),15)</f>
        <v>15</v>
      </c>
      <c r="J219" s="267">
        <f ca="1">IFERROR(__xludf.DUMMYFUNCTION("IMPORTRANGE(""https://docs.google.com/spreadsheets/d/11923uPwbBZFjjGgGUA6NLw09EwE0CqkOc4q9oUmW1yo/edit?usp=sharing"",""ลำพูน!J144"")"),15)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IFERROR(__xludf.DUMMYFUNCTION("IMPORTRANGE(""https://docs.google.com/spreadsheets/d/1Yj_ptqi66GCucihVvJfMjLAmec39IyEx_6qawtMGysU/edit?usp=sharing"",""สบก!BS33"")"),21125)</f>
        <v>21125</v>
      </c>
      <c r="N224" s="168">
        <f ca="1">IFERROR(__xludf.DUMMYFUNCTION("IMPORTRANGE(""https://docs.google.com/spreadsheets/d/1Yj_ptqi66GCucihVvJfMjLAmec39IyEx_6qawtMGysU/edit?usp=sharing"",""สบก!BT33"")"),21125)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IFERROR(__xludf.DUMMYFUNCTION("IMPORTRANGE(""https://docs.google.com/spreadsheets/d/1Yj_ptqi66GCucihVvJfMjLAmec39IyEx_6qawtMGysU/edit?usp=sharing"",""สบก!BO33"")"),0)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IFERROR(__xludf.DUMMYFUNCTION("IMPORTRANGE(""https://docs.google.com/spreadsheets/d/1Yj_ptqi66GCucihVvJfMjLAmec39IyEx_6qawtMGysU/edit?usp=sharing"",""สบก!BP33"")"),21125)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IFERROR(__xludf.DUMMYFUNCTION("IMPORTRANGE(""https://docs.google.com/spreadsheets/d/1Yj_ptqi66GCucihVvJfMjLAmec39IyEx_6qawtMGysU/edit?usp=sharing"",""สบก!BQ33"")"),0)</f>
        <v>0</v>
      </c>
      <c r="M228" s="50"/>
      <c r="N228" s="50">
        <f ca="1">IFERROR(__xludf.DUMMYFUNCTION("IMPORTRANGE(""https://docs.google.com/spreadsheets/d/1Yj_ptqi66GCucihVvJfMjLAmec39IyEx_6qawtMGysU/edit?usp=sharing"",""สบก!BU33"")"),0)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IFERROR(__xludf.DUMMYFUNCTION("IMPORTRANGE(""https://docs.google.com/spreadsheets/d/11923uPwbBZFjjGgGUA6NLw09EwE0CqkOc4q9oUmW1yo/edit?usp=sharing"",""ลำพูน!I149"")"),15)</f>
        <v>15</v>
      </c>
      <c r="J229" s="267">
        <f ca="1">IFERROR(__xludf.DUMMYFUNCTION("IMPORTRANGE(""https://docs.google.com/spreadsheets/d/11923uPwbBZFjjGgGUA6NLw09EwE0CqkOc4q9oUmW1yo/edit?usp=sharing"",""ลำพูน!J149"")"),15)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IFERROR(__xludf.DUMMYFUNCTION("IMPORTRANGE(""https://docs.google.com/spreadsheets/d/11923uPwbBZFjjGgGUA6NLw09EwE0CqkOc4q9oUmW1yo/edit?usp=sharing"",""ลำพูน!J151"")"),0)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IFERROR(__xludf.DUMMYFUNCTION("IMPORTRANGE(""https://docs.google.com/spreadsheets/d/11923uPwbBZFjjGgGUA6NLw09EwE0CqkOc4q9oUmW1yo/edit?usp=sharing"",""ลำพูน!J152"")"),1)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IFERROR(__xludf.DUMMYFUNCTION("IMPORTRANGE(""https://docs.google.com/spreadsheets/d/11923uPwbBZFjjGgGUA6NLw09EwE0CqkOc4q9oUmW1yo/edit?usp=sharing"",""ลำพูน!J153"")"),1)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IFERROR(__xludf.DUMMYFUNCTION("IMPORTRANGE(""https://docs.google.com/spreadsheets/d/11923uPwbBZFjjGgGUA6NLw09EwE0CqkOc4q9oUmW1yo/edit?usp=sharing"",""ลำพูน!J154"")"),1)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IFERROR(__xludf.DUMMYFUNCTION("IMPORTRANGE(""https://docs.google.com/spreadsheets/d/11923uPwbBZFjjGgGUA6NLw09EwE0CqkOc4q9oUmW1yo/edit?usp=sharing"",""ลำพูน!I155"")"),15)</f>
        <v>15</v>
      </c>
      <c r="J235" s="188">
        <f ca="1">IFERROR(__xludf.DUMMYFUNCTION("IMPORTRANGE(""https://docs.google.com/spreadsheets/d/11923uPwbBZFjjGgGUA6NLw09EwE0CqkOc4q9oUmW1yo/edit?usp=sharing"",""ลำพูน!J155"")"),15)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IFERROR(__xludf.DUMMYFUNCTION("IMPORTRANGE(""https://docs.google.com/spreadsheets/d/11923uPwbBZFjjGgGUA6NLw09EwE0CqkOc4q9oUmW1yo/edit?usp=sharing"",""ลำพูน!J156"")"),0)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IFERROR(__xludf.DUMMYFUNCTION("IMPORTRANGE(""https://docs.google.com/spreadsheets/d/11923uPwbBZFjjGgGUA6NLw09EwE0CqkOc4q9oUmW1yo/edit?usp=sharing"",""ลำพูน!J157"")"),0)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IFERROR(__xludf.DUMMYFUNCTION("IMPORTRANGE(""https://docs.google.com/spreadsheets/d/11923uPwbBZFjjGgGUA6NLw09EwE0CqkOc4q9oUmW1yo/edit?usp=sharing"",""ลำพูน!I158"")"),0)</f>
        <v>0</v>
      </c>
      <c r="J238" s="267">
        <f ca="1">IFERROR(__xludf.DUMMYFUNCTION("IMPORTRANGE(""https://docs.google.com/spreadsheets/d/11923uPwbBZFjjGgGUA6NLw09EwE0CqkOc4q9oUmW1yo/edit?usp=sharing"",""ลำพูน!J158"")"),0)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IFERROR(__xludf.DUMMYFUNCTION("IMPORTRANGE(""https://docs.google.com/spreadsheets/d/11923uPwbBZFjjGgGUA6NLw09EwE0CqkOc4q9oUmW1yo/edit?usp=sharing"",""ลำพูน!J159"")"),"")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IFERROR(__xludf.DUMMYFUNCTION("IMPORTRANGE(""https://docs.google.com/spreadsheets/d/11923uPwbBZFjjGgGUA6NLw09EwE0CqkOc4q9oUmW1yo/edit?usp=sharing"",""ลำพูน!J161"")"),0)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IFERROR(__xludf.DUMMYFUNCTION("IMPORTRANGE(""https://docs.google.com/spreadsheets/d/11923uPwbBZFjjGgGUA6NLw09EwE0CqkOc4q9oUmW1yo/edit?usp=sharing"",""ลำพูน!J162"")"),0)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IFERROR(__xludf.DUMMYFUNCTION("IMPORTRANGE(""https://docs.google.com/spreadsheets/d/11923uPwbBZFjjGgGUA6NLw09EwE0CqkOc4q9oUmW1yo/edit?usp=sharing"",""ลำพูน!J163"")"),0)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IFERROR(__xludf.DUMMYFUNCTION("IMPORTRANGE(""https://docs.google.com/spreadsheets/d/11923uPwbBZFjjGgGUA6NLw09EwE0CqkOc4q9oUmW1yo/edit?usp=sharing"",""ลำพูน!I164"")"),0)</f>
        <v>0</v>
      </c>
      <c r="J244" s="187">
        <f ca="1">IFERROR(__xludf.DUMMYFUNCTION("IMPORTRANGE(""https://docs.google.com/spreadsheets/d/11923uPwbBZFjjGgGUA6NLw09EwE0CqkOc4q9oUmW1yo/edit?usp=sharing"",""ลำพูน!J164"")"),0)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IFERROR(__xludf.DUMMYFUNCTION("IMPORTRANGE(""https://docs.google.com/spreadsheets/d/11923uPwbBZFjjGgGUA6NLw09EwE0CqkOc4q9oUmW1yo/edit?usp=sharing"",""ลำพูน!J165"")"),0)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IFERROR(__xludf.DUMMYFUNCTION("IMPORTRANGE(""https://docs.google.com/spreadsheets/d/11923uPwbBZFjjGgGUA6NLw09EwE0CqkOc4q9oUmW1yo/edit?usp=sharing"",""ลำพูน!J166"")"),0)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IFERROR(__xludf.DUMMYFUNCTION("IMPORTRANGE(""https://docs.google.com/spreadsheets/d/11923uPwbBZFjjGgGUA6NLw09EwE0CqkOc4q9oUmW1yo/edit?usp=sharing"",""ลำพูน!I169"")"),0)</f>
        <v>0</v>
      </c>
      <c r="J249" s="316">
        <f ca="1">IFERROR(__xludf.DUMMYFUNCTION("IMPORTRANGE(""https://docs.google.com/spreadsheets/d/11923uPwbBZFjjGgGUA6NLw09EwE0CqkOc4q9oUmW1yo/edit?usp=sharing"",""ลำพูน!J169"")"),0)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IFERROR(__xludf.DUMMYFUNCTION("IMPORTRANGE(""https://docs.google.com/spreadsheets/d/1Yj_ptqi66GCucihVvJfMjLAmec39IyEx_6qawtMGysU/edit?usp=sharing"",""สบก!CB33"")"),0)</f>
        <v>0</v>
      </c>
      <c r="N254" s="168">
        <f ca="1">IFERROR(__xludf.DUMMYFUNCTION("IMPORTRANGE(""https://docs.google.com/spreadsheets/d/1Yj_ptqi66GCucihVvJfMjLAmec39IyEx_6qawtMGysU/edit?usp=sharing"",""สบก!CC33"")"),0)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IFERROR(__xludf.DUMMYFUNCTION("IMPORTRANGE(""https://docs.google.com/spreadsheets/d/1Yj_ptqi66GCucihVvJfMjLAmec39IyEx_6qawtMGysU/edit?usp=sharing"",""สบก!BX33"")"),0)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IFERROR(__xludf.DUMMYFUNCTION("IMPORTRANGE(""https://docs.google.com/spreadsheets/d/1Yj_ptqi66GCucihVvJfMjLAmec39IyEx_6qawtMGysU/edit?usp=sharing"",""สบก!BY33"")"),0)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IFERROR(__xludf.DUMMYFUNCTION("IMPORTRANGE(""https://docs.google.com/spreadsheets/d/1Yj_ptqi66GCucihVvJfMjLAmec39IyEx_6qawtMGysU/edit?usp=sharing"",""สบก!BZ33"")"),0)</f>
        <v>0</v>
      </c>
      <c r="M258" s="50"/>
      <c r="N258" s="50">
        <f ca="1">IFERROR(__xludf.DUMMYFUNCTION("IMPORTRANGE(""https://docs.google.com/spreadsheets/d/1Yj_ptqi66GCucihVvJfMjLAmec39IyEx_6qawtMGysU/edit?usp=sharing"",""สบก!CD33"")"),0)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IFERROR(__xludf.DUMMYFUNCTION("IMPORTRANGE(""https://docs.google.com/spreadsheets/d/11923uPwbBZFjjGgGUA6NLw09EwE0CqkOc4q9oUmW1yo/edit?usp=sharing"",""ลำพูน!J175"")"),0)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IFERROR(__xludf.DUMMYFUNCTION("IMPORTRANGE(""https://docs.google.com/spreadsheets/d/11923uPwbBZFjjGgGUA6NLw09EwE0CqkOc4q9oUmW1yo/edit?usp=sharing"",""ลำพูน!J176"")"),0)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IFERROR(__xludf.DUMMYFUNCTION("IMPORTRANGE(""https://docs.google.com/spreadsheets/d/11923uPwbBZFjjGgGUA6NLw09EwE0CqkOc4q9oUmW1yo/edit?usp=sharing"",""ลำพูน!J177"")"),0)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IFERROR(__xludf.DUMMYFUNCTION("IMPORTRANGE(""https://docs.google.com/spreadsheets/d/11923uPwbBZFjjGgGUA6NLw09EwE0CqkOc4q9oUmW1yo/edit?usp=sharing"",""ลำพูน!J178"")"),0)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IFERROR(__xludf.DUMMYFUNCTION("IMPORTRANGE(""https://docs.google.com/spreadsheets/d/11923uPwbBZFjjGgGUA6NLw09EwE0CqkOc4q9oUmW1yo/edit?usp=sharing"",""ลำพูน!I179"")"),0)</f>
        <v>0</v>
      </c>
      <c r="J264" s="188">
        <f ca="1">IFERROR(__xludf.DUMMYFUNCTION("IMPORTRANGE(""https://docs.google.com/spreadsheets/d/11923uPwbBZFjjGgGUA6NLw09EwE0CqkOc4q9oUmW1yo/edit?usp=sharing"",""ลำพูน!J179"")"),0)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IFERROR(__xludf.DUMMYFUNCTION("IMPORTRANGE(""https://docs.google.com/spreadsheets/d/11923uPwbBZFjjGgGUA6NLw09EwE0CqkOc4q9oUmW1yo/edit?usp=sharing"",""ลำพูน!I180"")"),0)</f>
        <v>0</v>
      </c>
      <c r="J265" s="188">
        <f ca="1">IFERROR(__xludf.DUMMYFUNCTION("IMPORTRANGE(""https://docs.google.com/spreadsheets/d/11923uPwbBZFjjGgGUA6NLw09EwE0CqkOc4q9oUmW1yo/edit?usp=sharing"",""ลำพูน!J180"")"),0)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IFERROR(__xludf.DUMMYFUNCTION("IMPORTRANGE(""https://docs.google.com/spreadsheets/d/11923uPwbBZFjjGgGUA6NLw09EwE0CqkOc4q9oUmW1yo/edit?usp=sharing"",""ลำพูน!I181"")"),0)</f>
        <v>0</v>
      </c>
      <c r="J266" s="188">
        <f ca="1">IFERROR(__xludf.DUMMYFUNCTION("IMPORTRANGE(""https://docs.google.com/spreadsheets/d/11923uPwbBZFjjGgGUA6NLw09EwE0CqkOc4q9oUmW1yo/edit?usp=sharing"",""ลำพูน!J181"")"),0)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IFERROR(__xludf.DUMMYFUNCTION("IMPORTRANGE(""https://docs.google.com/spreadsheets/d/11923uPwbBZFjjGgGUA6NLw09EwE0CqkOc4q9oUmW1yo/edit?usp=sharing"",""ลำพูน!I182"")"),0)</f>
        <v>0</v>
      </c>
      <c r="J267" s="188">
        <f ca="1">IFERROR(__xludf.DUMMYFUNCTION("IMPORTRANGE(""https://docs.google.com/spreadsheets/d/11923uPwbBZFjjGgGUA6NLw09EwE0CqkOc4q9oUmW1yo/edit?usp=sharing"",""ลำพูน!J182"")"),0)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IFERROR(__xludf.DUMMYFUNCTION("IMPORTRANGE(""https://docs.google.com/spreadsheets/d/11923uPwbBZFjjGgGUA6NLw09EwE0CqkOc4q9oUmW1yo/edit?usp=sharing"",""ลำพูน!J183"")"),0)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IFERROR(__xludf.DUMMYFUNCTION("IMPORTRANGE(""https://docs.google.com/spreadsheets/d/11923uPwbBZFjjGgGUA6NLw09EwE0CqkOc4q9oUmW1yo/edit?usp=sharing"",""ลำพูน!J184"")"),0)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IFERROR(__xludf.DUMMYFUNCTION("IMPORTRANGE(""https://docs.google.com/spreadsheets/d/11923uPwbBZFjjGgGUA6NLw09EwE0CqkOc4q9oUmW1yo/edit?usp=sharing"",""ลำพูน!I185"")"),15)</f>
        <v>15</v>
      </c>
      <c r="J270" s="316">
        <f ca="1">IFERROR(__xludf.DUMMYFUNCTION("IMPORTRANGE(""https://docs.google.com/spreadsheets/d/11923uPwbBZFjjGgGUA6NLw09EwE0CqkOc4q9oUmW1yo/edit?usp=sharing"",""ลำพูน!J185"")"),15)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28115</v>
      </c>
      <c r="O271" s="151">
        <f t="shared" ref="O271:O273" ca="1" si="84">IF(L271&gt;0,N271*100/L271,0)</f>
        <v>50.93297101449275</v>
      </c>
      <c r="P271" s="151">
        <f t="shared" ref="P271:P273" ca="1" si="85">IF(M271&gt;0,N271*100/M271,0)</f>
        <v>87.178294573643413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32250</v>
      </c>
      <c r="N273" s="88">
        <f t="shared" ca="1" si="87"/>
        <v>28115</v>
      </c>
      <c r="O273" s="156">
        <f t="shared" ca="1" si="84"/>
        <v>50.93297101449275</v>
      </c>
      <c r="P273" s="156">
        <f t="shared" ca="1" si="85"/>
        <v>87.178294573643413</v>
      </c>
    </row>
    <row r="274" spans="1:16" ht="21.75" customHeight="1" x14ac:dyDescent="0.45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IFERROR(__xludf.DUMMYFUNCTION("IMPORTRANGE(""https://docs.google.com/spreadsheets/d/1Yj_ptqi66GCucihVvJfMjLAmec39IyEx_6qawtMGysU/edit?usp=sharing"",""สบก!CK33"")"),32250)</f>
        <v>32250</v>
      </c>
      <c r="N275" s="168">
        <f ca="1">IFERROR(__xludf.DUMMYFUNCTION("IMPORTRANGE(""https://docs.google.com/spreadsheets/d/1Yj_ptqi66GCucihVvJfMjLAmec39IyEx_6qawtMGysU/edit?usp=sharing"",""สบก!CL33"")"),28115)</f>
        <v>28115</v>
      </c>
      <c r="O275" s="168">
        <f ca="1">IF(L275&gt;0,N275*100/L275,0)</f>
        <v>50.93297101449275</v>
      </c>
      <c r="P275" s="168">
        <f ca="1">IF(M275&gt;0,N275*100/M275,0)</f>
        <v>87.178294573643413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IFERROR(__xludf.DUMMYFUNCTION("IMPORTRANGE(""https://docs.google.com/spreadsheets/d/1Yj_ptqi66GCucihVvJfMjLAmec39IyEx_6qawtMGysU/edit?usp=sharing"",""สบก!CG33"")"),0)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IFERROR(__xludf.DUMMYFUNCTION("IMPORTRANGE(""https://docs.google.com/spreadsheets/d/1Yj_ptqi66GCucihVvJfMjLAmec39IyEx_6qawtMGysU/edit?usp=sharing"",""สบก!CH33"")"),55200)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IFERROR(__xludf.DUMMYFUNCTION("IMPORTRANGE(""https://docs.google.com/spreadsheets/d/1Yj_ptqi66GCucihVvJfMjLAmec39IyEx_6qawtMGysU/edit?usp=sharing"",""สบก!CI33"")"),0)</f>
        <v>0</v>
      </c>
      <c r="M279" s="50"/>
      <c r="N279" s="50">
        <f ca="1">IFERROR(__xludf.DUMMYFUNCTION("IMPORTRANGE(""https://docs.google.com/spreadsheets/d/1Yj_ptqi66GCucihVvJfMjLAmec39IyEx_6qawtMGysU/edit?usp=sharing"",""สบก!CM33"")"),0)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IFERROR(__xludf.DUMMYFUNCTION("IMPORTRANGE(""https://docs.google.com/spreadsheets/d/11923uPwbBZFjjGgGUA6NLw09EwE0CqkOc4q9oUmW1yo/edit?usp=sharing"",""ลำพูน!J191"")"),0)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IFERROR(__xludf.DUMMYFUNCTION("IMPORTRANGE(""https://docs.google.com/spreadsheets/d/11923uPwbBZFjjGgGUA6NLw09EwE0CqkOc4q9oUmW1yo/edit?usp=sharing"",""ลำพูน!J192"")"),1)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IFERROR(__xludf.DUMMYFUNCTION("IMPORTRANGE(""https://docs.google.com/spreadsheets/d/11923uPwbBZFjjGgGUA6NLw09EwE0CqkOc4q9oUmW1yo/edit?usp=sharing"",""ลำพูน!J193"")"),1)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IFERROR(__xludf.DUMMYFUNCTION("IMPORTRANGE(""https://docs.google.com/spreadsheets/d/11923uPwbBZFjjGgGUA6NLw09EwE0CqkOc4q9oUmW1yo/edit?usp=sharing"",""ลำพูน!J194"")"),1)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IFERROR(__xludf.DUMMYFUNCTION("IMPORTRANGE(""https://docs.google.com/spreadsheets/d/11923uPwbBZFjjGgGUA6NLw09EwE0CqkOc4q9oUmW1yo/edit?usp=sharing"",""ลำพูน!I195"")"),15)</f>
        <v>15</v>
      </c>
      <c r="J285" s="188">
        <f ca="1">IFERROR(__xludf.DUMMYFUNCTION("IMPORTRANGE(""https://docs.google.com/spreadsheets/d/11923uPwbBZFjjGgGUA6NLw09EwE0CqkOc4q9oUmW1yo/edit?usp=sharing"",""ลำพูน!J195"")"),15)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IFERROR(__xludf.DUMMYFUNCTION("IMPORTRANGE(""https://docs.google.com/spreadsheets/d/11923uPwbBZFjjGgGUA6NLw09EwE0CqkOc4q9oUmW1yo/edit?usp=sharing"",""ลำพูน!J196"")"),0)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IFERROR(__xludf.DUMMYFUNCTION("IMPORTRANGE(""https://docs.google.com/spreadsheets/d/11923uPwbBZFjjGgGUA6NLw09EwE0CqkOc4q9oUmW1yo/edit?usp=sharing"",""ลำพูน!J197"")"),0)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IFERROR(__xludf.DUMMYFUNCTION("IMPORTRANGE(""https://docs.google.com/spreadsheets/d/11923uPwbBZFjjGgGUA6NLw09EwE0CqkOc4q9oUmW1yo/edit?usp=sharing"",""ลำพูน!I199"")"),0)</f>
        <v>0</v>
      </c>
      <c r="J289" s="316">
        <f ca="1">IFERROR(__xludf.DUMMYFUNCTION("IMPORTRANGE(""https://docs.google.com/spreadsheets/d/11923uPwbBZFjjGgGUA6NLw09EwE0CqkOc4q9oUmW1yo/edit?usp=sharing"",""ลำพูน!J199"")"),0)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IFERROR(__xludf.DUMMYFUNCTION("IMPORTRANGE(""https://docs.google.com/spreadsheets/d/1Yj_ptqi66GCucihVvJfMjLAmec39IyEx_6qawtMGysU/edit?usp=sharing"",""สบก!CT33"")"),0)</f>
        <v>0</v>
      </c>
      <c r="N294" s="168">
        <f ca="1">IFERROR(__xludf.DUMMYFUNCTION("IMPORTRANGE(""https://docs.google.com/spreadsheets/d/1Yj_ptqi66GCucihVvJfMjLAmec39IyEx_6qawtMGysU/edit?usp=sharing"",""สบก!CU33"")"),0)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IFERROR(__xludf.DUMMYFUNCTION("IMPORTRANGE(""https://docs.google.com/spreadsheets/d/1Yj_ptqi66GCucihVvJfMjLAmec39IyEx_6qawtMGysU/edit?usp=sharing"",""สบก!CP33"")"),0)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IFERROR(__xludf.DUMMYFUNCTION("IMPORTRANGE(""https://docs.google.com/spreadsheets/d/1Yj_ptqi66GCucihVvJfMjLAmec39IyEx_6qawtMGysU/edit?usp=sharing"",""สบก!CQ33"")"),0)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IFERROR(__xludf.DUMMYFUNCTION("IMPORTRANGE(""https://docs.google.com/spreadsheets/d/1Yj_ptqi66GCucihVvJfMjLAmec39IyEx_6qawtMGysU/edit?usp=sharing"",""สบก!CR33"")"),0)</f>
        <v>0</v>
      </c>
      <c r="M298" s="50"/>
      <c r="N298" s="50">
        <f ca="1">IFERROR(__xludf.DUMMYFUNCTION("IMPORTRANGE(""https://docs.google.com/spreadsheets/d/1Yj_ptqi66GCucihVvJfMjLAmec39IyEx_6qawtMGysU/edit?usp=sharing"",""สบก!CV33"")"),0)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IFERROR(__xludf.DUMMYFUNCTION("IMPORTRANGE(""https://docs.google.com/spreadsheets/d/11923uPwbBZFjjGgGUA6NLw09EwE0CqkOc4q9oUmW1yo/edit?usp=sharing"",""ลำพูน!J205"")"),0)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IFERROR(__xludf.DUMMYFUNCTION("IMPORTRANGE(""https://docs.google.com/spreadsheets/d/11923uPwbBZFjjGgGUA6NLw09EwE0CqkOc4q9oUmW1yo/edit?usp=sharing"",""ลำพูน!J206"")"),0)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IFERROR(__xludf.DUMMYFUNCTION("IMPORTRANGE(""https://docs.google.com/spreadsheets/d/11923uPwbBZFjjGgGUA6NLw09EwE0CqkOc4q9oUmW1yo/edit?usp=sharing"",""ลำพูน!J207"")"),0)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IFERROR(__xludf.DUMMYFUNCTION("IMPORTRANGE(""https://docs.google.com/spreadsheets/d/11923uPwbBZFjjGgGUA6NLw09EwE0CqkOc4q9oUmW1yo/edit?usp=sharing"",""ลำพูน!J208"")"),0)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IFERROR(__xludf.DUMMYFUNCTION("IMPORTRANGE(""https://docs.google.com/spreadsheets/d/11923uPwbBZFjjGgGUA6NLw09EwE0CqkOc4q9oUmW1yo/edit?usp=sharing"",""ลำพูน!I209"")"),0)</f>
        <v>0</v>
      </c>
      <c r="J304" s="203">
        <f ca="1">IFERROR(__xludf.DUMMYFUNCTION("IMPORTRANGE(""https://docs.google.com/spreadsheets/d/11923uPwbBZFjjGgGUA6NLw09EwE0CqkOc4q9oUmW1yo/edit?usp=sharing"",""ลำพูน!J209"")"),0)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IFERROR(__xludf.DUMMYFUNCTION("IMPORTRANGE(""https://docs.google.com/spreadsheets/d/11923uPwbBZFjjGgGUA6NLw09EwE0CqkOc4q9oUmW1yo/edit?usp=sharing"",""ลำพูน!I211"")"),0)</f>
        <v>0</v>
      </c>
      <c r="J306" s="203">
        <f ca="1">IFERROR(__xludf.DUMMYFUNCTION("IMPORTRANGE(""https://docs.google.com/spreadsheets/d/11923uPwbBZFjjGgGUA6NLw09EwE0CqkOc4q9oUmW1yo/edit?usp=sharing"",""ลำพูน!J211"")"),0)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IFERROR(__xludf.DUMMYFUNCTION("IMPORTRANGE(""https://docs.google.com/spreadsheets/d/11923uPwbBZFjjGgGUA6NLw09EwE0CqkOc4q9oUmW1yo/edit?usp=sharing"",""ลำพูน!J212"")"),0)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IFERROR(__xludf.DUMMYFUNCTION("IMPORTRANGE(""https://docs.google.com/spreadsheets/d/11923uPwbBZFjjGgGUA6NLw09EwE0CqkOc4q9oUmW1yo/edit?usp=sharing"",""ลำพูน!J213"")"),0)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IFERROR(__xludf.DUMMYFUNCTION("IMPORTRANGE(""https://docs.google.com/spreadsheets/d/11923uPwbBZFjjGgGUA6NLw09EwE0CqkOc4q9oUmW1yo/edit?usp=sharing"",""ลำพูน!I214"")"),0)</f>
        <v>0</v>
      </c>
      <c r="J309" s="333">
        <f ca="1">IFERROR(__xludf.DUMMYFUNCTION("IMPORTRANGE(""https://docs.google.com/spreadsheets/d/11923uPwbBZFjjGgGUA6NLw09EwE0CqkOc4q9oUmW1yo/edit?usp=sharing"",""ลำพูน!J214"")"),0)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IFERROR(__xludf.DUMMYFUNCTION("IMPORTRANGE(""https://docs.google.com/spreadsheets/d/1Yj_ptqi66GCucihVvJfMjLAmec39IyEx_6qawtMGysU/edit?usp=sharing"",""สบก!DC33"")"),0)</f>
        <v>0</v>
      </c>
      <c r="N314" s="168">
        <f ca="1">IFERROR(__xludf.DUMMYFUNCTION("IMPORTRANGE(""https://docs.google.com/spreadsheets/d/1Yj_ptqi66GCucihVvJfMjLAmec39IyEx_6qawtMGysU/edit?usp=sharing"",""สบก!DD33"")"),0)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IFERROR(__xludf.DUMMYFUNCTION("IMPORTRANGE(""https://docs.google.com/spreadsheets/d/1Yj_ptqi66GCucihVvJfMjLAmec39IyEx_6qawtMGysU/edit?usp=sharing"",""สบก!CY33"")"),0)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IFERROR(__xludf.DUMMYFUNCTION("IMPORTRANGE(""https://docs.google.com/spreadsheets/d/1Yj_ptqi66GCucihVvJfMjLAmec39IyEx_6qawtMGysU/edit?usp=sharing"",""สบก!CZ33"")"),0)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IFERROR(__xludf.DUMMYFUNCTION("IMPORTRANGE(""https://docs.google.com/spreadsheets/d/1Yj_ptqi66GCucihVvJfMjLAmec39IyEx_6qawtMGysU/edit?usp=sharing"",""สบก!DA33"")"),0)</f>
        <v>0</v>
      </c>
      <c r="M318" s="50"/>
      <c r="N318" s="50">
        <f ca="1">IFERROR(__xludf.DUMMYFUNCTION("IMPORTRANGE(""https://docs.google.com/spreadsheets/d/1Yj_ptqi66GCucihVvJfMjLAmec39IyEx_6qawtMGysU/edit?usp=sharing"",""สบก!DE33"")"),0)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IFERROR(__xludf.DUMMYFUNCTION("IMPORTRANGE(""https://docs.google.com/spreadsheets/d/11923uPwbBZFjjGgGUA6NLw09EwE0CqkOc4q9oUmW1yo/edit?usp=sharing"",""ลำพูน!J220"")"),0)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IFERROR(__xludf.DUMMYFUNCTION("IMPORTRANGE(""https://docs.google.com/spreadsheets/d/11923uPwbBZFjjGgGUA6NLw09EwE0CqkOc4q9oUmW1yo/edit?usp=sharing"",""ลำพูน!J221"")"),0)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IFERROR(__xludf.DUMMYFUNCTION("IMPORTRANGE(""https://docs.google.com/spreadsheets/d/11923uPwbBZFjjGgGUA6NLw09EwE0CqkOc4q9oUmW1yo/edit?usp=sharing"",""ลำพูน!J222"")"),0)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IFERROR(__xludf.DUMMYFUNCTION("IMPORTRANGE(""https://docs.google.com/spreadsheets/d/11923uPwbBZFjjGgGUA6NLw09EwE0CqkOc4q9oUmW1yo/edit?usp=sharing"",""ลำพูน!J223"")"),0)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IFERROR(__xludf.DUMMYFUNCTION("IMPORTRANGE(""https://docs.google.com/spreadsheets/d/11923uPwbBZFjjGgGUA6NLw09EwE0CqkOc4q9oUmW1yo/edit?usp=sharing"",""ลำพูน!I224"")"),0)</f>
        <v>0</v>
      </c>
      <c r="J324" s="203">
        <f ca="1">IFERROR(__xludf.DUMMYFUNCTION("IMPORTRANGE(""https://docs.google.com/spreadsheets/d/11923uPwbBZFjjGgGUA6NLw09EwE0CqkOc4q9oUmW1yo/edit?usp=sharing"",""ลำพูน!J224"")"),0)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IFERROR(__xludf.DUMMYFUNCTION("IMPORTRANGE(""https://docs.google.com/spreadsheets/d/11923uPwbBZFjjGgGUA6NLw09EwE0CqkOc4q9oUmW1yo/edit?usp=sharing"",""ลำพูน!J225"")"),0)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IFERROR(__xludf.DUMMYFUNCTION("IMPORTRANGE(""https://docs.google.com/spreadsheets/d/11923uPwbBZFjjGgGUA6NLw09EwE0CqkOc4q9oUmW1yo/edit?usp=sharing"",""ลำพูน!J226"")"),0)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IFERROR(__xludf.DUMMYFUNCTION("IMPORTRANGE(""https://docs.google.com/spreadsheets/d/11923uPwbBZFjjGgGUA6NLw09EwE0CqkOc4q9oUmW1yo/edit?usp=sharing"",""ลำพูน!I228"")"),342)</f>
        <v>342</v>
      </c>
      <c r="J328" s="339">
        <f ca="1">IFERROR(__xludf.DUMMYFUNCTION("IMPORTRANGE(""https://docs.google.com/spreadsheets/d/11923uPwbBZFjjGgGUA6NLw09EwE0CqkOc4q9oUmW1yo/edit?usp=sharing"",""ลำพูน!J228"")"),100)</f>
        <v>100</v>
      </c>
      <c r="K328" s="317">
        <f ca="1">IF(I328&gt;0,J328*100/I328,0)</f>
        <v>29.239766081871345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745780</v>
      </c>
      <c r="M329" s="152">
        <f t="shared" ca="1" si="98"/>
        <v>573160</v>
      </c>
      <c r="N329" s="152">
        <f t="shared" ca="1" si="98"/>
        <v>423415</v>
      </c>
      <c r="O329" s="151">
        <f t="shared" ref="O329:O331" ca="1" si="99">IF(L329&gt;0,N329*100/L329,0)</f>
        <v>56.774786129957896</v>
      </c>
      <c r="P329" s="151">
        <f t="shared" ref="P329:P331" ca="1" si="100">IF(M329&gt;0,N329*100/M329,0)</f>
        <v>73.873787424104961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745780</v>
      </c>
      <c r="M331" s="88">
        <f t="shared" ca="1" si="102"/>
        <v>573160</v>
      </c>
      <c r="N331" s="88">
        <f t="shared" ca="1" si="102"/>
        <v>423415</v>
      </c>
      <c r="O331" s="156">
        <f t="shared" ca="1" si="99"/>
        <v>56.774786129957896</v>
      </c>
      <c r="P331" s="156">
        <f t="shared" ca="1" si="100"/>
        <v>73.873787424104961</v>
      </c>
    </row>
    <row r="332" spans="1:16" ht="21.75" customHeight="1" x14ac:dyDescent="0.45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734380</v>
      </c>
      <c r="M333" s="167">
        <f ca="1">IFERROR(__xludf.DUMMYFUNCTION("IMPORTRANGE(""https://docs.google.com/spreadsheets/d/1Yj_ptqi66GCucihVvJfMjLAmec39IyEx_6qawtMGysU/edit?usp=sharing"",""สบก!DL33"")"),561760)</f>
        <v>561760</v>
      </c>
      <c r="N333" s="168">
        <f ca="1">IFERROR(__xludf.DUMMYFUNCTION("IMPORTRANGE(""https://docs.google.com/spreadsheets/d/1Yj_ptqi66GCucihVvJfMjLAmec39IyEx_6qawtMGysU/edit?usp=sharing"",""สบก!DM33"")"),412015)</f>
        <v>412015</v>
      </c>
      <c r="O333" s="168">
        <f ca="1">IF(L333&gt;0,N333*100/L333,0)</f>
        <v>56.103788229526948</v>
      </c>
      <c r="P333" s="168">
        <f ca="1">IF(M333&gt;0,N333*100/M333,0)</f>
        <v>73.34359868983195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IFERROR(__xludf.DUMMYFUNCTION("IMPORTRANGE(""https://docs.google.com/spreadsheets/d/1Yj_ptqi66GCucihVvJfMjLAmec39IyEx_6qawtMGysU/edit?usp=sharing"",""สบก!DH33"")"),417600)</f>
        <v>417600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IFERROR(__xludf.DUMMYFUNCTION("IMPORTRANGE(""https://docs.google.com/spreadsheets/d/1Yj_ptqi66GCucihVvJfMjLAmec39IyEx_6qawtMGysU/edit?usp=sharing"",""สบก!DI33"")"),316780)</f>
        <v>316780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IFERROR(__xludf.DUMMYFUNCTION("IMPORTRANGE(""https://docs.google.com/spreadsheets/d/1Yj_ptqi66GCucihVvJfMjLAmec39IyEx_6qawtMGysU/edit?usp=sharing"",""สบก!DJ33"")"),11400)</f>
        <v>11400</v>
      </c>
      <c r="M337" s="50">
        <f ca="1">L337</f>
        <v>11400</v>
      </c>
      <c r="N337" s="50">
        <f ca="1">IFERROR(__xludf.DUMMYFUNCTION("IMPORTRANGE(""https://docs.google.com/spreadsheets/d/1Yj_ptqi66GCucihVvJfMjLAmec39IyEx_6qawtMGysU/edit?usp=sharing"",""สบก!DN33"")"),11400)</f>
        <v>11400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IFERROR(__xludf.DUMMYFUNCTION("IMPORTRANGE(""https://docs.google.com/spreadsheets/d/11923uPwbBZFjjGgGUA6NLw09EwE0CqkOc4q9oUmW1yo/edit?usp=sharing"",""ลำพูน!I234"")"),0)</f>
        <v>0</v>
      </c>
      <c r="J339" s="187">
        <f ca="1">IFERROR(__xludf.DUMMYFUNCTION("IMPORTRANGE(""https://docs.google.com/spreadsheets/d/11923uPwbBZFjjGgGUA6NLw09EwE0CqkOc4q9oUmW1yo/edit?usp=sharing"",""ลำพูน!J234"")"),118)</f>
        <v>118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IFERROR(__xludf.DUMMYFUNCTION("IMPORTRANGE(""https://docs.google.com/spreadsheets/d/11923uPwbBZFjjGgGUA6NLw09EwE0CqkOc4q9oUmW1yo/edit?usp=sharing"",""ลำพูน!I235"")"),700)</f>
        <v>700</v>
      </c>
      <c r="J340" s="187">
        <f ca="1">IFERROR(__xludf.DUMMYFUNCTION("IMPORTRANGE(""https://docs.google.com/spreadsheets/d/11923uPwbBZFjjGgGUA6NLw09EwE0CqkOc4q9oUmW1yo/edit?usp=sharing"",""ลำพูน!J235"")"),529.46)</f>
        <v>529.46</v>
      </c>
      <c r="K340" s="342">
        <f t="shared" ca="1" si="103"/>
        <v>75.637142857142862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IFERROR(__xludf.DUMMYFUNCTION("IMPORTRANGE(""https://docs.google.com/spreadsheets/d/11923uPwbBZFjjGgGUA6NLw09EwE0CqkOc4q9oUmW1yo/edit?usp=sharing"",""ลำพูน!I236"")"),342)</f>
        <v>342</v>
      </c>
      <c r="J341" s="187">
        <f ca="1">IFERROR(__xludf.DUMMYFUNCTION("IMPORTRANGE(""https://docs.google.com/spreadsheets/d/11923uPwbBZFjjGgGUA6NLw09EwE0CqkOc4q9oUmW1yo/edit?usp=sharing"",""ลำพูน!J236"")"),152)</f>
        <v>152</v>
      </c>
      <c r="K341" s="342">
        <f t="shared" ca="1" si="103"/>
        <v>44.444444444444443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IFERROR(__xludf.DUMMYFUNCTION("IMPORTRANGE(""https://docs.google.com/spreadsheets/d/11923uPwbBZFjjGgGUA6NLw09EwE0CqkOc4q9oUmW1yo/edit?usp=sharing"",""ลำพูน!I237"")"),0)</f>
        <v>0</v>
      </c>
      <c r="J342" s="187">
        <f ca="1">IFERROR(__xludf.DUMMYFUNCTION("IMPORTRANGE(""https://docs.google.com/spreadsheets/d/11923uPwbBZFjjGgGUA6NLw09EwE0CqkOc4q9oUmW1yo/edit?usp=sharing"",""ลำพูน!J237"")"),927.83)</f>
        <v>927.83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IFERROR(__xludf.DUMMYFUNCTION("IMPORTRANGE(""https://docs.google.com/spreadsheets/d/11923uPwbBZFjjGgGUA6NLw09EwE0CqkOc4q9oUmW1yo/edit?usp=sharing"",""ลำพูน!I238"")"),342)</f>
        <v>342</v>
      </c>
      <c r="J343" s="187">
        <f ca="1">IFERROR(__xludf.DUMMYFUNCTION("IMPORTRANGE(""https://docs.google.com/spreadsheets/d/11923uPwbBZFjjGgGUA6NLw09EwE0CqkOc4q9oUmW1yo/edit?usp=sharing"",""ลำพูน!J238"")"),0)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IFERROR(__xludf.DUMMYFUNCTION("IMPORTRANGE(""https://docs.google.com/spreadsheets/d/11923uPwbBZFjjGgGUA6NLw09EwE0CqkOc4q9oUmW1yo/edit?usp=sharing"",""ลำพูน!I239"")"),0)</f>
        <v>0</v>
      </c>
      <c r="J344" s="187">
        <f ca="1">IFERROR(__xludf.DUMMYFUNCTION("IMPORTRANGE(""https://docs.google.com/spreadsheets/d/11923uPwbBZFjjGgGUA6NLw09EwE0CqkOc4q9oUmW1yo/edit?usp=sharing"",""ลำพูน!J239"")"),0)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IFERROR(__xludf.DUMMYFUNCTION("IMPORTRANGE(""https://docs.google.com/spreadsheets/d/11923uPwbBZFjjGgGUA6NLw09EwE0CqkOc4q9oUmW1yo/edit?usp=sharing"",""ลำพูน!I240"")"),342)</f>
        <v>342</v>
      </c>
      <c r="J345" s="187">
        <f ca="1">IFERROR(__xludf.DUMMYFUNCTION("IMPORTRANGE(""https://docs.google.com/spreadsheets/d/11923uPwbBZFjjGgGUA6NLw09EwE0CqkOc4q9oUmW1yo/edit?usp=sharing"",""ลำพูน!J240"")"),100)</f>
        <v>100</v>
      </c>
      <c r="K345" s="342">
        <f t="shared" ca="1" si="103"/>
        <v>29.239766081871345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IFERROR(__xludf.DUMMYFUNCTION("IMPORTRANGE(""https://docs.google.com/spreadsheets/d/11923uPwbBZFjjGgGUA6NLw09EwE0CqkOc4q9oUmW1yo/edit?usp=sharing"",""ลำพูน!I241"")"),0)</f>
        <v>0</v>
      </c>
      <c r="J346" s="187">
        <f ca="1">IFERROR(__xludf.DUMMYFUNCTION("IMPORTRANGE(""https://docs.google.com/spreadsheets/d/11923uPwbBZFjjGgGUA6NLw09EwE0CqkOc4q9oUmW1yo/edit?usp=sharing"",""ลำพูน!J241"")"),663.87)</f>
        <v>663.87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IFERROR(__xludf.DUMMYFUNCTION("IMPORTRANGE(""https://docs.google.com/spreadsheets/d/11923uPwbBZFjjGgGUA6NLw09EwE0CqkOc4q9oUmW1yo/edit?usp=sharing"",""ลำพูน!L242"")"),2412210)</f>
        <v>2412210</v>
      </c>
      <c r="M347" s="357"/>
      <c r="N347" s="357">
        <f ca="1">IFERROR(__xludf.DUMMYFUNCTION("IMPORTRANGE(""https://docs.google.com/spreadsheets/d/11923uPwbBZFjjGgGUA6NLw09EwE0CqkOc4q9oUmW1yo/edit?usp=sharing"",""ลำพูน!M242"")"),966620)</f>
        <v>966620</v>
      </c>
      <c r="O347" s="357">
        <f ca="1">+IF(L347&gt;0,N347*100/L347,0)</f>
        <v>40.071967200202302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IFERROR(__xludf.DUMMYFUNCTION("IMPORTRANGE(""https://docs.google.com/spreadsheets/d/11923uPwbBZFjjGgGUA6NLw09EwE0CqkOc4q9oUmW1yo/edit?usp=sharing"",""ลำพูน!I244"")"),200)</f>
        <v>200</v>
      </c>
      <c r="J349" s="370">
        <f ca="1">IFERROR(__xludf.DUMMYFUNCTION("IMPORTRANGE(""https://docs.google.com/spreadsheets/d/11923uPwbBZFjjGgGUA6NLw09EwE0CqkOc4q9oUmW1yo/edit?usp=sharing"",""ลำพูน!J244"")"),200)</f>
        <v>200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IFERROR(__xludf.DUMMYFUNCTION("IMPORTRANGE(""https://docs.google.com/spreadsheets/d/11923uPwbBZFjjGgGUA6NLw09EwE0CqkOc4q9oUmW1yo/edit?usp=sharing"",""ลำพูน!L244"")"),459380)</f>
        <v>459380</v>
      </c>
      <c r="M349" s="372"/>
      <c r="N349" s="372">
        <f ca="1">IFERROR(__xludf.DUMMYFUNCTION("IMPORTRANGE(""https://docs.google.com/spreadsheets/d/11923uPwbBZFjjGgGUA6NLw09EwE0CqkOc4q9oUmW1yo/edit?usp=sharing"",""ลำพูน!M244"")"),323820)</f>
        <v>323820</v>
      </c>
      <c r="O349" s="372">
        <f ca="1">+IF(L349&gt;0,N349*100/L349,0)</f>
        <v>70.490661326135225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IFERROR(__xludf.DUMMYFUNCTION("IMPORTRANGE(""https://docs.google.com/spreadsheets/d/11923uPwbBZFjjGgGUA6NLw09EwE0CqkOc4q9oUmW1yo/edit?usp=sharing"",""ลำพูน!I245"")"),70)</f>
        <v>70</v>
      </c>
      <c r="J350" s="370">
        <f ca="1">IFERROR(__xludf.DUMMYFUNCTION("IMPORTRANGE(""https://docs.google.com/spreadsheets/d/11923uPwbBZFjjGgGUA6NLw09EwE0CqkOc4q9oUmW1yo/edit?usp=sharing"",""ลำพูน!J245"")"),70)</f>
        <v>70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IFERROR(__xludf.DUMMYFUNCTION("IMPORTRANGE(""https://docs.google.com/spreadsheets/d/11923uPwbBZFjjGgGUA6NLw09EwE0CqkOc4q9oUmW1yo/edit?usp=sharing"",""ลำพูน!L246"")"),0)</f>
        <v>0</v>
      </c>
      <c r="M351" s="164"/>
      <c r="N351" s="164">
        <f ca="1">IFERROR(__xludf.DUMMYFUNCTION("IMPORTRANGE(""https://docs.google.com/spreadsheets/d/11923uPwbBZFjjGgGUA6NLw09EwE0CqkOc4q9oUmW1yo/edit?usp=sharing"",""ลำพูน!M246"")"),0)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IFERROR(__xludf.DUMMYFUNCTION("IMPORTRANGE(""https://docs.google.com/spreadsheets/d/11923uPwbBZFjjGgGUA6NLw09EwE0CqkOc4q9oUmW1yo/edit?usp=sharing"",""ลำพูน!L247"")"),459380)</f>
        <v>459380</v>
      </c>
      <c r="M352" s="165"/>
      <c r="N352" s="164">
        <f ca="1">IFERROR(__xludf.DUMMYFUNCTION("IMPORTRANGE(""https://docs.google.com/spreadsheets/d/11923uPwbBZFjjGgGUA6NLw09EwE0CqkOc4q9oUmW1yo/edit?usp=sharing"",""ลำพูน!M247"")"),323820)</f>
        <v>323820</v>
      </c>
      <c r="O352" s="165">
        <f t="shared" ca="1" si="105"/>
        <v>70.490661326135225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IFERROR(__xludf.DUMMYFUNCTION("IMPORTRANGE(""https://docs.google.com/spreadsheets/d/11923uPwbBZFjjGgGUA6NLw09EwE0CqkOc4q9oUmW1yo/edit?usp=sharing"",""ลำพูน!L248"")"),0)</f>
        <v>0</v>
      </c>
      <c r="M353" s="168"/>
      <c r="N353" s="168">
        <f ca="1">IFERROR(__xludf.DUMMYFUNCTION("IMPORTRANGE(""https://docs.google.com/spreadsheets/d/11923uPwbBZFjjGgGUA6NLw09EwE0CqkOc4q9oUmW1yo/edit?usp=sharing"",""ลำพูน!M248"")"),0)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IFERROR(__xludf.DUMMYFUNCTION("IMPORTRANGE(""https://docs.google.com/spreadsheets/d/11923uPwbBZFjjGgGUA6NLw09EwE0CqkOc4q9oUmW1yo/edit?usp=sharing"",""ลำพูน!L249"")"),459380)</f>
        <v>459380</v>
      </c>
      <c r="M354" s="168"/>
      <c r="N354" s="167">
        <f ca="1">IFERROR(__xludf.DUMMYFUNCTION("IMPORTRANGE(""https://docs.google.com/spreadsheets/d/11923uPwbBZFjjGgGUA6NLw09EwE0CqkOc4q9oUmW1yo/edit?usp=sharing"",""ลำพูน!M249"")"),323820)</f>
        <v>323820</v>
      </c>
      <c r="O354" s="168">
        <f t="shared" ca="1" si="105"/>
        <v>70.490661326135225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IFERROR(__xludf.DUMMYFUNCTION("IMPORTRANGE(""https://docs.google.com/spreadsheets/d/11923uPwbBZFjjGgGUA6NLw09EwE0CqkOc4q9oUmW1yo/edit?usp=sharing"",""ลำพูน!M250"")"),84600)</f>
        <v>84600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IFERROR(__xludf.DUMMYFUNCTION("IMPORTRANGE(""https://docs.google.com/spreadsheets/d/11923uPwbBZFjjGgGUA6NLw09EwE0CqkOc4q9oUmW1yo/edit?usp=sharing"",""ลำพูน!M251"")"),183800)</f>
        <v>183800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IFERROR(__xludf.DUMMYFUNCTION("IMPORTRANGE(""https://docs.google.com/spreadsheets/d/11923uPwbBZFjjGgGUA6NLw09EwE0CqkOc4q9oUmW1yo/edit?usp=sharing"",""ลำพูน!M252"")"),42935)</f>
        <v>42935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IFERROR(__xludf.DUMMYFUNCTION("IMPORTRANGE(""https://docs.google.com/spreadsheets/d/11923uPwbBZFjjGgGUA6NLw09EwE0CqkOc4q9oUmW1yo/edit?usp=sharing"",""ลำพูน!M253"")"),12485)</f>
        <v>12485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IFERROR(__xludf.DUMMYFUNCTION("IMPORTRANGE(""https://docs.google.com/spreadsheets/d/11923uPwbBZFjjGgGUA6NLw09EwE0CqkOc4q9oUmW1yo/edit?usp=sharing"",""ลำพูน!J255"")"),0)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IFERROR(__xludf.DUMMYFUNCTION("IMPORTRANGE(""https://docs.google.com/spreadsheets/d/11923uPwbBZFjjGgGUA6NLw09EwE0CqkOc4q9oUmW1yo/edit?usp=sharing"",""ลำพูน!J256"")"),1)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IFERROR(__xludf.DUMMYFUNCTION("IMPORTRANGE(""https://docs.google.com/spreadsheets/d/11923uPwbBZFjjGgGUA6NLw09EwE0CqkOc4q9oUmW1yo/edit?usp=sharing"",""ลำพูน!J257"")"),1)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IFERROR(__xludf.DUMMYFUNCTION("IMPORTRANGE(""https://docs.google.com/spreadsheets/d/11923uPwbBZFjjGgGUA6NLw09EwE0CqkOc4q9oUmW1yo/edit?usp=sharing"",""ลำพูน!J258"")"),0)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IFERROR(__xludf.DUMMYFUNCTION("IMPORTRANGE(""https://docs.google.com/spreadsheets/d/11923uPwbBZFjjGgGUA6NLw09EwE0CqkOc4q9oUmW1yo/edit?usp=sharing"",""ลำพูน!J166"")"),0)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IFERROR(__xludf.DUMMYFUNCTION("IMPORTRANGE(""https://docs.google.com/spreadsheets/d/11923uPwbBZFjjGgGUA6NLw09EwE0CqkOc4q9oUmW1yo/edit?usp=sharing"",""ลำพูน!J166"")"),0)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IFERROR(__xludf.DUMMYFUNCTION("IMPORTRANGE(""https://docs.google.com/spreadsheets/d/11923uPwbBZFjjGgGUA6NLw09EwE0CqkOc4q9oUmW1yo/edit?usp=sharing"",""ลำพูน!J166"")"),0)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IFERROR(__xludf.DUMMYFUNCTION("IMPORTRANGE(""https://docs.google.com/spreadsheets/d/11923uPwbBZFjjGgGUA6NLw09EwE0CqkOc4q9oUmW1yo/edit?usp=sharing"",""ลำพูน!J166"")"),0)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IFERROR(__xludf.DUMMYFUNCTION("IMPORTRANGE(""https://docs.google.com/spreadsheets/d/11923uPwbBZFjjGgGUA6NLw09EwE0CqkOc4q9oUmW1yo/edit?usp=sharing"",""ลำพูน!I263"")"),70)</f>
        <v>70</v>
      </c>
      <c r="J368" s="187">
        <f ca="1">IFERROR(__xludf.DUMMYFUNCTION("IMPORTRANGE(""https://docs.google.com/spreadsheets/d/11923uPwbBZFjjGgGUA6NLw09EwE0CqkOc4q9oUmW1yo/edit?usp=sharing"",""ลำพูน!J263"")"),70)</f>
        <v>70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IFERROR(__xludf.DUMMYFUNCTION("IMPORTRANGE(""https://docs.google.com/spreadsheets/d/11923uPwbBZFjjGgGUA6NLw09EwE0CqkOc4q9oUmW1yo/edit?usp=sharing"",""ลำพูน!I164"")"),0)</f>
        <v>0</v>
      </c>
      <c r="J369" s="203">
        <f ca="1">IFERROR(__xludf.DUMMYFUNCTION("IMPORTRANGE(""https://docs.google.com/spreadsheets/d/11923uPwbBZFjjGgGUA6NLw09EwE0CqkOc4q9oUmW1yo/edit?usp=sharing"",""ลำพูน!J164"")"),0)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IFERROR(__xludf.DUMMYFUNCTION("IMPORTRANGE(""https://docs.google.com/spreadsheets/d/11923uPwbBZFjjGgGUA6NLw09EwE0CqkOc4q9oUmW1yo/edit?usp=sharing"",""ลำพูน!I265"")"),70)</f>
        <v>70</v>
      </c>
      <c r="J370" s="203">
        <f ca="1">IFERROR(__xludf.DUMMYFUNCTION("IMPORTRANGE(""https://docs.google.com/spreadsheets/d/11923uPwbBZFjjGgGUA6NLw09EwE0CqkOc4q9oUmW1yo/edit?usp=sharing"",""ลำพูน!J265"")"),70)</f>
        <v>70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IFERROR(__xludf.DUMMYFUNCTION("IMPORTRANGE(""https://docs.google.com/spreadsheets/d/11923uPwbBZFjjGgGUA6NLw09EwE0CqkOc4q9oUmW1yo/edit?usp=sharing"",""ลำพูน!I164"")"),0)</f>
        <v>0</v>
      </c>
      <c r="J371" s="188">
        <f ca="1">IFERROR(__xludf.DUMMYFUNCTION("IMPORTRANGE(""https://docs.google.com/spreadsheets/d/11923uPwbBZFjjGgGUA6NLw09EwE0CqkOc4q9oUmW1yo/edit?usp=sharing"",""ลำพูน!J164"")"),0)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IFERROR(__xludf.DUMMYFUNCTION("IMPORTRANGE(""https://docs.google.com/spreadsheets/d/11923uPwbBZFjjGgGUA6NLw09EwE0CqkOc4q9oUmW1yo/edit?usp=sharing"",""ลำพูน!I267"")"),70)</f>
        <v>70</v>
      </c>
      <c r="J372" s="188">
        <f ca="1">IFERROR(__xludf.DUMMYFUNCTION("IMPORTRANGE(""https://docs.google.com/spreadsheets/d/11923uPwbBZFjjGgGUA6NLw09EwE0CqkOc4q9oUmW1yo/edit?usp=sharing"",""ลำพูน!J267"")"),70)</f>
        <v>70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IFERROR(__xludf.DUMMYFUNCTION("IMPORTRANGE(""https://docs.google.com/spreadsheets/d/11923uPwbBZFjjGgGUA6NLw09EwE0CqkOc4q9oUmW1yo/edit?usp=sharing"",""ลำพูน!I164"")"),0)</f>
        <v>0</v>
      </c>
      <c r="J373" s="203">
        <f ca="1">IFERROR(__xludf.DUMMYFUNCTION("IMPORTRANGE(""https://docs.google.com/spreadsheets/d/11923uPwbBZFjjGgGUA6NLw09EwE0CqkOc4q9oUmW1yo/edit?usp=sharing"",""ลำพูน!J164"")"),0)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IFERROR(__xludf.DUMMYFUNCTION("IMPORTRANGE(""https://docs.google.com/spreadsheets/d/11923uPwbBZFjjGgGUA6NLw09EwE0CqkOc4q9oUmW1yo/edit?usp=sharing"",""ลำพูน!I164"")"),0)</f>
        <v>0</v>
      </c>
      <c r="J374" s="187">
        <f ca="1">IFERROR(__xludf.DUMMYFUNCTION("IMPORTRANGE(""https://docs.google.com/spreadsheets/d/11923uPwbBZFjjGgGUA6NLw09EwE0CqkOc4q9oUmW1yo/edit?usp=sharing"",""ลำพูน!J164"")"),0)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IFERROR(__xludf.DUMMYFUNCTION("IMPORTRANGE(""https://docs.google.com/spreadsheets/d/11923uPwbBZFjjGgGUA6NLw09EwE0CqkOc4q9oUmW1yo/edit?usp=sharing"",""ลำพูน!I270"")"),200)</f>
        <v>200</v>
      </c>
      <c r="J375" s="187">
        <f ca="1">IFERROR(__xludf.DUMMYFUNCTION("IMPORTRANGE(""https://docs.google.com/spreadsheets/d/11923uPwbBZFjjGgGUA6NLw09EwE0CqkOc4q9oUmW1yo/edit?usp=sharing"",""ลำพูน!J270"")"),200)</f>
        <v>200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IFERROR(__xludf.DUMMYFUNCTION("IMPORTRANGE(""https://docs.google.com/spreadsheets/d/11923uPwbBZFjjGgGUA6NLw09EwE0CqkOc4q9oUmW1yo/edit?usp=sharing"",""ลำพูน!I271"")"),100)</f>
        <v>100</v>
      </c>
      <c r="J376" s="188">
        <f ca="1">IFERROR(__xludf.DUMMYFUNCTION("IMPORTRANGE(""https://docs.google.com/spreadsheets/d/11923uPwbBZFjjGgGUA6NLw09EwE0CqkOc4q9oUmW1yo/edit?usp=sharing"",""ลำพูน!J271"")"),100)</f>
        <v>100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IFERROR(__xludf.DUMMYFUNCTION("IMPORTRANGE(""https://docs.google.com/spreadsheets/d/11923uPwbBZFjjGgGUA6NLw09EwE0CqkOc4q9oUmW1yo/edit?usp=sharing"",""ลำพูน!I272"")"),100)</f>
        <v>100</v>
      </c>
      <c r="J377" s="203">
        <f ca="1">IFERROR(__xludf.DUMMYFUNCTION("IMPORTRANGE(""https://docs.google.com/spreadsheets/d/11923uPwbBZFjjGgGUA6NLw09EwE0CqkOc4q9oUmW1yo/edit?usp=sharing"",""ลำพูน!J272"")"),100)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IFERROR(__xludf.DUMMYFUNCTION("IMPORTRANGE(""https://docs.google.com/spreadsheets/d/11923uPwbBZFjjGgGUA6NLw09EwE0CqkOc4q9oUmW1yo/edit?usp=sharing"",""ลำพูน!J273"")"),1)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IFERROR(__xludf.DUMMYFUNCTION("IMPORTRANGE(""https://docs.google.com/spreadsheets/d/11923uPwbBZFjjGgGUA6NLw09EwE0CqkOc4q9oUmW1yo/edit?usp=sharing"",""ลำพูน!J274"")"),0)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IFERROR(__xludf.DUMMYFUNCTION("IMPORTRANGE(""https://docs.google.com/spreadsheets/d/11923uPwbBZFjjGgGUA6NLw09EwE0CqkOc4q9oUmW1yo/edit?usp=sharing"",""ลำพูน!I275"")"),1000)</f>
        <v>1000</v>
      </c>
      <c r="J380" s="370">
        <f ca="1">IFERROR(__xludf.DUMMYFUNCTION("IMPORTRANGE(""https://docs.google.com/spreadsheets/d/11923uPwbBZFjjGgGUA6NLw09EwE0CqkOc4q9oUmW1yo/edit?usp=sharing"",""ลำพูน!J275"")"),0)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IFERROR(__xludf.DUMMYFUNCTION("IMPORTRANGE(""https://docs.google.com/spreadsheets/d/11923uPwbBZFjjGgGUA6NLw09EwE0CqkOc4q9oUmW1yo/edit?usp=sharing"",""ลำพูน!L275"")"),1028520)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IFERROR(__xludf.DUMMYFUNCTION("IMPORTRANGE(""https://docs.google.com/spreadsheets/d/11923uPwbBZFjjGgGUA6NLw09EwE0CqkOc4q9oUmW1yo/edit?usp=sharing"",""ลำพูน!M275"")"),274467)</f>
        <v>274467</v>
      </c>
      <c r="O380" s="372">
        <f ca="1">+IF(L380&gt;0,N380*100/L380,0)</f>
        <v>26.685625947964066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IFERROR(__xludf.DUMMYFUNCTION("IMPORTRANGE(""https://docs.google.com/spreadsheets/d/11923uPwbBZFjjGgGUA6NLw09EwE0CqkOc4q9oUmW1yo/edit?usp=sharing"",""ลำพูน!I276"")"),100)</f>
        <v>100</v>
      </c>
      <c r="J381" s="370">
        <f ca="1">IFERROR(__xludf.DUMMYFUNCTION("IMPORTRANGE(""https://docs.google.com/spreadsheets/d/11923uPwbBZFjjGgGUA6NLw09EwE0CqkOc4q9oUmW1yo/edit?usp=sharing"",""ลำพูน!J276"")"),100)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IFERROR(__xludf.DUMMYFUNCTION("IMPORTRANGE(""https://docs.google.com/spreadsheets/d/11923uPwbBZFjjGgGUA6NLw09EwE0CqkOc4q9oUmW1yo/edit?usp=sharing"",""ลำพูน!L277"")"),0)</f>
        <v>0</v>
      </c>
      <c r="M382" s="164"/>
      <c r="N382" s="164">
        <f ca="1">IFERROR(__xludf.DUMMYFUNCTION("IMPORTRANGE(""https://docs.google.com/spreadsheets/d/11923uPwbBZFjjGgGUA6NLw09EwE0CqkOc4q9oUmW1yo/edit?usp=sharing"",""ลำพูน!M277"")"),0)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IFERROR(__xludf.DUMMYFUNCTION("IMPORTRANGE(""https://docs.google.com/spreadsheets/d/11923uPwbBZFjjGgGUA6NLw09EwE0CqkOc4q9oUmW1yo/edit?usp=sharing"",""ลำพูน!L278"")"),1028520)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IFERROR(__xludf.DUMMYFUNCTION("IMPORTRANGE(""https://docs.google.com/spreadsheets/d/11923uPwbBZFjjGgGUA6NLw09EwE0CqkOc4q9oUmW1yo/edit?usp=sharing"",""ลำพูน!M278"")"),274467)</f>
        <v>274467</v>
      </c>
      <c r="O383" s="165">
        <f t="shared" ca="1" si="109"/>
        <v>26.685625947964066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IFERROR(__xludf.DUMMYFUNCTION("IMPORTRANGE(""https://docs.google.com/spreadsheets/d/11923uPwbBZFjjGgGUA6NLw09EwE0CqkOc4q9oUmW1yo/edit?usp=sharing"",""ลำพูน!L279"")"),0)</f>
        <v>0</v>
      </c>
      <c r="M384" s="168"/>
      <c r="N384" s="168">
        <f ca="1">IFERROR(__xludf.DUMMYFUNCTION("IMPORTRANGE(""https://docs.google.com/spreadsheets/d/11923uPwbBZFjjGgGUA6NLw09EwE0CqkOc4q9oUmW1yo/edit?usp=sharing"",""ลำพูน!M279"")"),0)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IFERROR(__xludf.DUMMYFUNCTION("IMPORTRANGE(""https://docs.google.com/spreadsheets/d/11923uPwbBZFjjGgGUA6NLw09EwE0CqkOc4q9oUmW1yo/edit?usp=sharing"",""ลำพูน!L280"")"),1028520)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IFERROR(__xludf.DUMMYFUNCTION("IMPORTRANGE(""https://docs.google.com/spreadsheets/d/11923uPwbBZFjjGgGUA6NLw09EwE0CqkOc4q9oUmW1yo/edit?usp=sharing"",""ลำพูน!M280"")"),274467)</f>
        <v>274467</v>
      </c>
      <c r="O385" s="168">
        <f t="shared" ca="1" si="109"/>
        <v>26.685625947964066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IFERROR(__xludf.DUMMYFUNCTION("IMPORTRANGE(""https://docs.google.com/spreadsheets/d/11923uPwbBZFjjGgGUA6NLw09EwE0CqkOc4q9oUmW1yo/edit?usp=sharing"",""ลำพูน!M281"")"),190300)</f>
        <v>190300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IFERROR(__xludf.DUMMYFUNCTION("IMPORTRANGE(""https://docs.google.com/spreadsheets/d/11923uPwbBZFjjGgGUA6NLw09EwE0CqkOc4q9oUmW1yo/edit?usp=sharing"",""ลำพูน!M282"")"),0)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IFERROR(__xludf.DUMMYFUNCTION("IMPORTRANGE(""https://docs.google.com/spreadsheets/d/11923uPwbBZFjjGgGUA6NLw09EwE0CqkOc4q9oUmW1yo/edit?usp=sharing"",""ลำพูน!M283"")"),63467)</f>
        <v>63467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IFERROR(__xludf.DUMMYFUNCTION("IMPORTRANGE(""https://docs.google.com/spreadsheets/d/11923uPwbBZFjjGgGUA6NLw09EwE0CqkOc4q9oUmW1yo/edit?usp=sharing"",""ลำพูน!M284"")"),20700)</f>
        <v>20700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IFERROR(__xludf.DUMMYFUNCTION("IMPORTRANGE(""https://docs.google.com/spreadsheets/d/11923uPwbBZFjjGgGUA6NLw09EwE0CqkOc4q9oUmW1yo/edit?usp=sharing"",""ลำพูน!J286"")"),0)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IFERROR(__xludf.DUMMYFUNCTION("IMPORTRANGE(""https://docs.google.com/spreadsheets/d/11923uPwbBZFjjGgGUA6NLw09EwE0CqkOc4q9oUmW1yo/edit?usp=sharing"",""ลำพูน!J287"")"),1)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IFERROR(__xludf.DUMMYFUNCTION("IMPORTRANGE(""https://docs.google.com/spreadsheets/d/11923uPwbBZFjjGgGUA6NLw09EwE0CqkOc4q9oUmW1yo/edit?usp=sharing"",""ลำพูน!J288"")"),1)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IFERROR(__xludf.DUMMYFUNCTION("IMPORTRANGE(""https://docs.google.com/spreadsheets/d/11923uPwbBZFjjGgGUA6NLw09EwE0CqkOc4q9oUmW1yo/edit?usp=sharing"",""ลำพูน!J289"")"),1)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IFERROR(__xludf.DUMMYFUNCTION("IMPORTRANGE(""https://docs.google.com/spreadsheets/d/11923uPwbBZFjjGgGUA6NLw09EwE0CqkOc4q9oUmW1yo/edit?usp=sharing"",""ลำพูน!I291"")"),100)</f>
        <v>100</v>
      </c>
      <c r="J396" s="197">
        <f ca="1">IFERROR(__xludf.DUMMYFUNCTION("IMPORTRANGE(""https://docs.google.com/spreadsheets/d/11923uPwbBZFjjGgGUA6NLw09EwE0CqkOc4q9oUmW1yo/edit?usp=sharing"",""ลำพูน!J291"")"),100)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IFERROR(__xludf.DUMMYFUNCTION("IMPORTRANGE(""https://docs.google.com/spreadsheets/d/11923uPwbBZFjjGgGUA6NLw09EwE0CqkOc4q9oUmW1yo/edit?usp=sharing"",""ลำพูน!I292"")"),1000)</f>
        <v>1000</v>
      </c>
      <c r="J397" s="197">
        <f ca="1">IFERROR(__xludf.DUMMYFUNCTION("IMPORTRANGE(""https://docs.google.com/spreadsheets/d/11923uPwbBZFjjGgGUA6NLw09EwE0CqkOc4q9oUmW1yo/edit?usp=sharing"",""ลำพูน!J292"")"),0)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IFERROR(__xludf.DUMMYFUNCTION("IMPORTRANGE(""https://docs.google.com/spreadsheets/d/11923uPwbBZFjjGgGUA6NLw09EwE0CqkOc4q9oUmW1yo/edit?usp=sharing"",""ลำพูน!I293"")"),100)</f>
        <v>100</v>
      </c>
      <c r="J398" s="197">
        <f ca="1">IFERROR(__xludf.DUMMYFUNCTION("IMPORTRANGE(""https://docs.google.com/spreadsheets/d/11923uPwbBZFjjGgGUA6NLw09EwE0CqkOc4q9oUmW1yo/edit?usp=sharing"",""ลำพูน!J293"")"),0)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IFERROR(__xludf.DUMMYFUNCTION("IMPORTRANGE(""https://docs.google.com/spreadsheets/d/11923uPwbBZFjjGgGUA6NLw09EwE0CqkOc4q9oUmW1yo/edit?usp=sharing"",""ลำพูน!J294"")"),0)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IFERROR(__xludf.DUMMYFUNCTION("IMPORTRANGE(""https://docs.google.com/spreadsheets/d/11923uPwbBZFjjGgGUA6NLw09EwE0CqkOc4q9oUmW1yo/edit?usp=sharing"",""ลำพูน!J295"")"),0)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IFERROR(__xludf.DUMMYFUNCTION("IMPORTRANGE(""https://docs.google.com/spreadsheets/d/11923uPwbBZFjjGgGUA6NLw09EwE0CqkOc4q9oUmW1yo/edit?usp=sharing"",""ลำพูน!I296"")"),165)</f>
        <v>165</v>
      </c>
      <c r="J401" s="370">
        <f ca="1">IFERROR(__xludf.DUMMYFUNCTION("IMPORTRANGE(""https://docs.google.com/spreadsheets/d/11923uPwbBZFjjGgGUA6NLw09EwE0CqkOc4q9oUmW1yo/edit?usp=sharing"",""ลำพูน!J296"")"),165)</f>
        <v>165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IFERROR(__xludf.DUMMYFUNCTION("IMPORTRANGE(""https://docs.google.com/spreadsheets/d/11923uPwbBZFjjGgGUA6NLw09EwE0CqkOc4q9oUmW1yo/edit?usp=sharing"",""ลำพูน!L296"")"),188190)</f>
        <v>188190</v>
      </c>
      <c r="M401" s="372"/>
      <c r="N401" s="372">
        <f ca="1">IFERROR(__xludf.DUMMYFUNCTION("IMPORTRANGE(""https://docs.google.com/spreadsheets/d/11923uPwbBZFjjGgGUA6NLw09EwE0CqkOc4q9oUmW1yo/edit?usp=sharing"",""ลำพูน!M296"")"),84405)</f>
        <v>84405</v>
      </c>
      <c r="O401" s="372">
        <f ca="1">+IF(L401&gt;0,N401*100/L401,0)</f>
        <v>44.850948509485093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IFERROR(__xludf.DUMMYFUNCTION("IMPORTRANGE(""https://docs.google.com/spreadsheets/d/11923uPwbBZFjjGgGUA6NLw09EwE0CqkOc4q9oUmW1yo/edit?usp=sharing"",""ลำพูน!I297"")"),55)</f>
        <v>55</v>
      </c>
      <c r="J402" s="370">
        <f ca="1">IFERROR(__xludf.DUMMYFUNCTION("IMPORTRANGE(""https://docs.google.com/spreadsheets/d/11923uPwbBZFjjGgGUA6NLw09EwE0CqkOc4q9oUmW1yo/edit?usp=sharing"",""ลำพูน!J297"")"),20)</f>
        <v>20</v>
      </c>
      <c r="K402" s="371">
        <f t="shared" ca="1" si="111"/>
        <v>36.363636363636367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IFERROR(__xludf.DUMMYFUNCTION("IMPORTRANGE(""https://docs.google.com/spreadsheets/d/11923uPwbBZFjjGgGUA6NLw09EwE0CqkOc4q9oUmW1yo/edit?usp=sharing"",""ลำพูน!L298"")"),0)</f>
        <v>0</v>
      </c>
      <c r="M403" s="164"/>
      <c r="N403" s="168">
        <f ca="1">IFERROR(__xludf.DUMMYFUNCTION("IMPORTRANGE(""https://docs.google.com/spreadsheets/d/11923uPwbBZFjjGgGUA6NLw09EwE0CqkOc4q9oUmW1yo/edit?usp=sharing"",""ลำพูน!M298"")"),0)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IFERROR(__xludf.DUMMYFUNCTION("IMPORTRANGE(""https://docs.google.com/spreadsheets/d/11923uPwbBZFjjGgGUA6NLw09EwE0CqkOc4q9oUmW1yo/edit?usp=sharing"",""ลำพูน!L299"")"),188190)</f>
        <v>188190</v>
      </c>
      <c r="M404" s="165"/>
      <c r="N404" s="168">
        <f ca="1">IFERROR(__xludf.DUMMYFUNCTION("IMPORTRANGE(""https://docs.google.com/spreadsheets/d/11923uPwbBZFjjGgGUA6NLw09EwE0CqkOc4q9oUmW1yo/edit?usp=sharing"",""ลำพูน!M299"")"),84405)</f>
        <v>84405</v>
      </c>
      <c r="O404" s="168">
        <f t="shared" ca="1" si="112"/>
        <v>44.850948509485093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IFERROR(__xludf.DUMMYFUNCTION("IMPORTRANGE(""https://docs.google.com/spreadsheets/d/11923uPwbBZFjjGgGUA6NLw09EwE0CqkOc4q9oUmW1yo/edit?usp=sharing"",""ลำพูน!L300"")"),0)</f>
        <v>0</v>
      </c>
      <c r="M405" s="168"/>
      <c r="N405" s="168">
        <f ca="1">IFERROR(__xludf.DUMMYFUNCTION("IMPORTRANGE(""https://docs.google.com/spreadsheets/d/11923uPwbBZFjjGgGUA6NLw09EwE0CqkOc4q9oUmW1yo/edit?usp=sharing"",""ลำพูน!M300"")"),0)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IFERROR(__xludf.DUMMYFUNCTION("IMPORTRANGE(""https://docs.google.com/spreadsheets/d/11923uPwbBZFjjGgGUA6NLw09EwE0CqkOc4q9oUmW1yo/edit?usp=sharing"",""ลำพูน!L301"")"),188190)</f>
        <v>188190</v>
      </c>
      <c r="M406" s="168"/>
      <c r="N406" s="168">
        <f ca="1">IFERROR(__xludf.DUMMYFUNCTION("IMPORTRANGE(""https://docs.google.com/spreadsheets/d/11923uPwbBZFjjGgGUA6NLw09EwE0CqkOc4q9oUmW1yo/edit?usp=sharing"",""ลำพูน!M301"")"),84405)</f>
        <v>84405</v>
      </c>
      <c r="O406" s="168">
        <f t="shared" ca="1" si="112"/>
        <v>44.850948509485093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IFERROR(__xludf.DUMMYFUNCTION("IMPORTRANGE(""https://docs.google.com/spreadsheets/d/11923uPwbBZFjjGgGUA6NLw09EwE0CqkOc4q9oUmW1yo/edit?usp=sharing"",""ลำพูน!M302"")"),84405)</f>
        <v>84405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IFERROR(__xludf.DUMMYFUNCTION("IMPORTRANGE(""https://docs.google.com/spreadsheets/d/11923uPwbBZFjjGgGUA6NLw09EwE0CqkOc4q9oUmW1yo/edit?usp=sharing"",""ลำพูน!M303"")"),0)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IFERROR(__xludf.DUMMYFUNCTION("IMPORTRANGE(""https://docs.google.com/spreadsheets/d/11923uPwbBZFjjGgGUA6NLw09EwE0CqkOc4q9oUmW1yo/edit?usp=sharing"",""ลำพูน!M304"")"),0)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IFERROR(__xludf.DUMMYFUNCTION("IMPORTRANGE(""https://docs.google.com/spreadsheets/d/11923uPwbBZFjjGgGUA6NLw09EwE0CqkOc4q9oUmW1yo/edit?usp=sharing"",""ลำพูน!M305"")"),0)</f>
        <v>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IFERROR(__xludf.DUMMYFUNCTION("IMPORTRANGE(""https://docs.google.com/spreadsheets/d/11923uPwbBZFjjGgGUA6NLw09EwE0CqkOc4q9oUmW1yo/edit?usp=sharing"",""ลำพูน!J307"")"),0)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IFERROR(__xludf.DUMMYFUNCTION("IMPORTRANGE(""https://docs.google.com/spreadsheets/d/11923uPwbBZFjjGgGUA6NLw09EwE0CqkOc4q9oUmW1yo/edit?usp=sharing"",""ลำพูน!J308"")"),1)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IFERROR(__xludf.DUMMYFUNCTION("IMPORTRANGE(""https://docs.google.com/spreadsheets/d/11923uPwbBZFjjGgGUA6NLw09EwE0CqkOc4q9oUmW1yo/edit?usp=sharing"",""ลำพูน!J309"")"),1)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IFERROR(__xludf.DUMMYFUNCTION("IMPORTRANGE(""https://docs.google.com/spreadsheets/d/11923uPwbBZFjjGgGUA6NLw09EwE0CqkOc4q9oUmW1yo/edit?usp=sharing"",""ลำพูน!J310"")"),1)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IFERROR(__xludf.DUMMYFUNCTION("IMPORTRANGE(""https://docs.google.com/spreadsheets/d/11923uPwbBZFjjGgGUA6NLw09EwE0CqkOc4q9oUmW1yo/edit?usp=sharing"",""ลำพูน!I311"")"),55)</f>
        <v>55</v>
      </c>
      <c r="J416" s="200">
        <f ca="1">IFERROR(__xludf.DUMMYFUNCTION("IMPORTRANGE(""https://docs.google.com/spreadsheets/d/11923uPwbBZFjjGgGUA6NLw09EwE0CqkOc4q9oUmW1yo/edit?usp=sharing"",""ลำพูน!J311"")"),20)</f>
        <v>20</v>
      </c>
      <c r="K416" s="201">
        <f t="shared" ref="K416:K432" ca="1" si="113">IF(I416&gt;0,J416*100/I416,0)</f>
        <v>36.363636363636367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IFERROR(__xludf.DUMMYFUNCTION("IMPORTRANGE(""https://docs.google.com/spreadsheets/d/11923uPwbBZFjjGgGUA6NLw09EwE0CqkOc4q9oUmW1yo/edit?usp=sharing"",""ลำพูน!I312"")"),10)</f>
        <v>10</v>
      </c>
      <c r="J417" s="391">
        <f ca="1">IFERROR(__xludf.DUMMYFUNCTION("IMPORTRANGE(""https://docs.google.com/spreadsheets/d/11923uPwbBZFjjGgGUA6NLw09EwE0CqkOc4q9oUmW1yo/edit?usp=sharing"",""ลำพูน!J312"")"),10)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IFERROR(__xludf.DUMMYFUNCTION("IMPORTRANGE(""https://docs.google.com/spreadsheets/d/11923uPwbBZFjjGgGUA6NLw09EwE0CqkOc4q9oUmW1yo/edit?usp=sharing"",""ลำพูน!I313"")"),30)</f>
        <v>30</v>
      </c>
      <c r="J418" s="392">
        <f ca="1">IFERROR(__xludf.DUMMYFUNCTION("IMPORTRANGE(""https://docs.google.com/spreadsheets/d/11923uPwbBZFjjGgGUA6NLw09EwE0CqkOc4q9oUmW1yo/edit?usp=sharing"",""ลำพูน!J313"")"),30)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IFERROR(__xludf.DUMMYFUNCTION("IMPORTRANGE(""https://docs.google.com/spreadsheets/d/11923uPwbBZFjjGgGUA6NLw09EwE0CqkOc4q9oUmW1yo/edit?usp=sharing"",""ลำพูน!I314"")"),10)</f>
        <v>10</v>
      </c>
      <c r="J419" s="393">
        <f ca="1">IFERROR(__xludf.DUMMYFUNCTION("IMPORTRANGE(""https://docs.google.com/spreadsheets/d/11923uPwbBZFjjGgGUA6NLw09EwE0CqkOc4q9oUmW1yo/edit?usp=sharing"",""ลำพูน!J314"")"),10)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IFERROR(__xludf.DUMMYFUNCTION("IMPORTRANGE(""https://docs.google.com/spreadsheets/d/11923uPwbBZFjjGgGUA6NLw09EwE0CqkOc4q9oUmW1yo/edit?usp=sharing"",""ลำพูน!I315"")"),10)</f>
        <v>10</v>
      </c>
      <c r="J420" s="393">
        <f ca="1">IFERROR(__xludf.DUMMYFUNCTION("IMPORTRANGE(""https://docs.google.com/spreadsheets/d/11923uPwbBZFjjGgGUA6NLw09EwE0CqkOc4q9oUmW1yo/edit?usp=sharing"",""ลำพูน!J315"")"),10)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IFERROR(__xludf.DUMMYFUNCTION("IMPORTRANGE(""https://docs.google.com/spreadsheets/d/11923uPwbBZFjjGgGUA6NLw09EwE0CqkOc4q9oUmW1yo/edit?usp=sharing"",""ลำพูน!I316"")"),35)</f>
        <v>35</v>
      </c>
      <c r="J421" s="391">
        <f ca="1">IFERROR(__xludf.DUMMYFUNCTION("IMPORTRANGE(""https://docs.google.com/spreadsheets/d/11923uPwbBZFjjGgGUA6NLw09EwE0CqkOc4q9oUmW1yo/edit?usp=sharing"",""ลำพูน!J316"")"),0)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IFERROR(__xludf.DUMMYFUNCTION("IMPORTRANGE(""https://docs.google.com/spreadsheets/d/11923uPwbBZFjjGgGUA6NLw09EwE0CqkOc4q9oUmW1yo/edit?usp=sharing"",""ลำพูน!I317"")"),105)</f>
        <v>105</v>
      </c>
      <c r="J422" s="392">
        <f ca="1">IFERROR(__xludf.DUMMYFUNCTION("IMPORTRANGE(""https://docs.google.com/spreadsheets/d/11923uPwbBZFjjGgGUA6NLw09EwE0CqkOc4q9oUmW1yo/edit?usp=sharing"",""ลำพูน!J317"")"),105)</f>
        <v>105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IFERROR(__xludf.DUMMYFUNCTION("IMPORTRANGE(""https://docs.google.com/spreadsheets/d/11923uPwbBZFjjGgGUA6NLw09EwE0CqkOc4q9oUmW1yo/edit?usp=sharing"",""ลำพูน!I318"")"),35)</f>
        <v>35</v>
      </c>
      <c r="J423" s="393">
        <f ca="1">IFERROR(__xludf.DUMMYFUNCTION("IMPORTRANGE(""https://docs.google.com/spreadsheets/d/11923uPwbBZFjjGgGUA6NLw09EwE0CqkOc4q9oUmW1yo/edit?usp=sharing"",""ลำพูน!J318"")"),35)</f>
        <v>35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IFERROR(__xludf.DUMMYFUNCTION("IMPORTRANGE(""https://docs.google.com/spreadsheets/d/11923uPwbBZFjjGgGUA6NLw09EwE0CqkOc4q9oUmW1yo/edit?usp=sharing"",""ลำพูน!I319"")"),35)</f>
        <v>35</v>
      </c>
      <c r="J424" s="393">
        <f ca="1">IFERROR(__xludf.DUMMYFUNCTION("IMPORTRANGE(""https://docs.google.com/spreadsheets/d/11923uPwbBZFjjGgGUA6NLw09EwE0CqkOc4q9oUmW1yo/edit?usp=sharing"",""ลำพูน!J319"")"),0)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IFERROR(__xludf.DUMMYFUNCTION("IMPORTRANGE(""https://docs.google.com/spreadsheets/d/11923uPwbBZFjjGgGUA6NLw09EwE0CqkOc4q9oUmW1yo/edit?usp=sharing"",""ลำพูน!I320"")"),35)</f>
        <v>35</v>
      </c>
      <c r="J425" s="393">
        <f ca="1">IFERROR(__xludf.DUMMYFUNCTION("IMPORTRANGE(""https://docs.google.com/spreadsheets/d/11923uPwbBZFjjGgGUA6NLw09EwE0CqkOc4q9oUmW1yo/edit?usp=sharing"",""ลำพูน!J320"")"),0)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IFERROR(__xludf.DUMMYFUNCTION("IMPORTRANGE(""https://docs.google.com/spreadsheets/d/11923uPwbBZFjjGgGUA6NLw09EwE0CqkOc4q9oUmW1yo/edit?usp=sharing"",""ลำพูน!I321"")"),10)</f>
        <v>10</v>
      </c>
      <c r="J426" s="391">
        <f ca="1">IFERROR(__xludf.DUMMYFUNCTION("IMPORTRANGE(""https://docs.google.com/spreadsheets/d/11923uPwbBZFjjGgGUA6NLw09EwE0CqkOc4q9oUmW1yo/edit?usp=sharing"",""ลำพูน!J321"")"),10)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IFERROR(__xludf.DUMMYFUNCTION("IMPORTRANGE(""https://docs.google.com/spreadsheets/d/11923uPwbBZFjjGgGUA6NLw09EwE0CqkOc4q9oUmW1yo/edit?usp=sharing"",""ลำพูน!I322"")"),30)</f>
        <v>30</v>
      </c>
      <c r="J427" s="392">
        <f ca="1">IFERROR(__xludf.DUMMYFUNCTION("IMPORTRANGE(""https://docs.google.com/spreadsheets/d/11923uPwbBZFjjGgGUA6NLw09EwE0CqkOc4q9oUmW1yo/edit?usp=sharing"",""ลำพูน!J322"")"),30)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IFERROR(__xludf.DUMMYFUNCTION("IMPORTRANGE(""https://docs.google.com/spreadsheets/d/11923uPwbBZFjjGgGUA6NLw09EwE0CqkOc4q9oUmW1yo/edit?usp=sharing"",""ลำพูน!I323"")"),10)</f>
        <v>10</v>
      </c>
      <c r="J428" s="393">
        <f ca="1">IFERROR(__xludf.DUMMYFUNCTION("IMPORTRANGE(""https://docs.google.com/spreadsheets/d/11923uPwbBZFjjGgGUA6NLw09EwE0CqkOc4q9oUmW1yo/edit?usp=sharing"",""ลำพูน!J323"")"),10)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IFERROR(__xludf.DUMMYFUNCTION("IMPORTRANGE(""https://docs.google.com/spreadsheets/d/11923uPwbBZFjjGgGUA6NLw09EwE0CqkOc4q9oUmW1yo/edit?usp=sharing"",""ลำพูน!I324"")"),10)</f>
        <v>10</v>
      </c>
      <c r="J429" s="393">
        <f ca="1">IFERROR(__xludf.DUMMYFUNCTION("IMPORTRANGE(""https://docs.google.com/spreadsheets/d/11923uPwbBZFjjGgGUA6NLw09EwE0CqkOc4q9oUmW1yo/edit?usp=sharing"",""ลำพูน!J324"")"),10)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IFERROR(__xludf.DUMMYFUNCTION("IMPORTRANGE(""https://docs.google.com/spreadsheets/d/11923uPwbBZFjjGgGUA6NLw09EwE0CqkOc4q9oUmW1yo/edit?usp=sharing"",""ลำพูน!I325"")"),45)</f>
        <v>45</v>
      </c>
      <c r="J430" s="391">
        <f ca="1">IFERROR(__xludf.DUMMYFUNCTION("IMPORTRANGE(""https://docs.google.com/spreadsheets/d/11923uPwbBZFjjGgGUA6NLw09EwE0CqkOc4q9oUmW1yo/edit?usp=sharing"",""ลำพูน!J325"")"),10)</f>
        <v>10</v>
      </c>
      <c r="K430" s="201">
        <f t="shared" ca="1" si="113"/>
        <v>22.222222222222221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IFERROR(__xludf.DUMMYFUNCTION("IMPORTRANGE(""https://docs.google.com/spreadsheets/d/11923uPwbBZFjjGgGUA6NLw09EwE0CqkOc4q9oUmW1yo/edit?usp=sharing"",""ลำพูน!I326"")"),10)</f>
        <v>10</v>
      </c>
      <c r="J431" s="393">
        <f ca="1">IFERROR(__xludf.DUMMYFUNCTION("IMPORTRANGE(""https://docs.google.com/spreadsheets/d/11923uPwbBZFjjGgGUA6NLw09EwE0CqkOc4q9oUmW1yo/edit?usp=sharing"",""ลำพูน!J326"")"),10)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IFERROR(__xludf.DUMMYFUNCTION("IMPORTRANGE(""https://docs.google.com/spreadsheets/d/11923uPwbBZFjjGgGUA6NLw09EwE0CqkOc4q9oUmW1yo/edit?usp=sharing"",""ลำพูน!I327"")"),35)</f>
        <v>35</v>
      </c>
      <c r="J432" s="393">
        <f ca="1">IFERROR(__xludf.DUMMYFUNCTION("IMPORTRANGE(""https://docs.google.com/spreadsheets/d/11923uPwbBZFjjGgGUA6NLw09EwE0CqkOc4q9oUmW1yo/edit?usp=sharing"",""ลำพูน!J327"")"),0)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IFERROR(__xludf.DUMMYFUNCTION("IMPORTRANGE(""https://docs.google.com/spreadsheets/d/11923uPwbBZFjjGgGUA6NLw09EwE0CqkOc4q9oUmW1yo/edit?usp=sharing"",""ลำพูน!J328"")"),0)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IFERROR(__xludf.DUMMYFUNCTION("IMPORTRANGE(""https://docs.google.com/spreadsheets/d/11923uPwbBZFjjGgGUA6NLw09EwE0CqkOc4q9oUmW1yo/edit?usp=sharing"",""ลำพูน!J329"")"),0)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IFERROR(__xludf.DUMMYFUNCTION("IMPORTRANGE(""https://docs.google.com/spreadsheets/d/11923uPwbBZFjjGgGUA6NLw09EwE0CqkOc4q9oUmW1yo/edit?usp=sharing"",""ลำพูน!I330"")"),20)</f>
        <v>20</v>
      </c>
      <c r="J435" s="409">
        <f ca="1">IFERROR(__xludf.DUMMYFUNCTION("IMPORTRANGE(""https://docs.google.com/spreadsheets/d/11923uPwbBZFjjGgGUA6NLw09EwE0CqkOc4q9oUmW1yo/edit?usp=sharing"",""ลำพูน!J330"")"),20)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IFERROR(__xludf.DUMMYFUNCTION("IMPORTRANGE(""https://docs.google.com/spreadsheets/d/11923uPwbBZFjjGgGUA6NLw09EwE0CqkOc4q9oUmW1yo/edit?usp=sharing"",""ลำพูน!L330"")"),118000)</f>
        <v>118000</v>
      </c>
      <c r="M435" s="411"/>
      <c r="N435" s="411">
        <f ca="1">IFERROR(__xludf.DUMMYFUNCTION("IMPORTRANGE(""https://docs.google.com/spreadsheets/d/11923uPwbBZFjjGgGUA6NLw09EwE0CqkOc4q9oUmW1yo/edit?usp=sharing"",""ลำพูน!M330"")"),41220)</f>
        <v>41220</v>
      </c>
      <c r="O435" s="411">
        <f t="shared" ref="O435:O439" ca="1" si="114">+IF(L435&gt;0,N435*100/L435,0)</f>
        <v>34.932203389830505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IFERROR(__xludf.DUMMYFUNCTION("IMPORTRANGE(""https://docs.google.com/spreadsheets/d/11923uPwbBZFjjGgGUA6NLw09EwE0CqkOc4q9oUmW1yo/edit?usp=sharing"",""ลำพูน!L331"")"),0)</f>
        <v>0</v>
      </c>
      <c r="M436" s="164"/>
      <c r="N436" s="168">
        <f ca="1">IFERROR(__xludf.DUMMYFUNCTION("IMPORTRANGE(""https://docs.google.com/spreadsheets/d/11923uPwbBZFjjGgGUA6NLw09EwE0CqkOc4q9oUmW1yo/edit?usp=sharing"",""ลำพูน!M331"")"),0)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IFERROR(__xludf.DUMMYFUNCTION("IMPORTRANGE(""https://docs.google.com/spreadsheets/d/11923uPwbBZFjjGgGUA6NLw09EwE0CqkOc4q9oUmW1yo/edit?usp=sharing"",""ลำพูน!L332"")"),118000)</f>
        <v>118000</v>
      </c>
      <c r="M437" s="165"/>
      <c r="N437" s="168">
        <f ca="1">IFERROR(__xludf.DUMMYFUNCTION("IMPORTRANGE(""https://docs.google.com/spreadsheets/d/11923uPwbBZFjjGgGUA6NLw09EwE0CqkOc4q9oUmW1yo/edit?usp=sharing"",""ลำพูน!M332"")"),41220)</f>
        <v>41220</v>
      </c>
      <c r="O437" s="168">
        <f t="shared" ca="1" si="114"/>
        <v>34.932203389830505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IFERROR(__xludf.DUMMYFUNCTION("IMPORTRANGE(""https://docs.google.com/spreadsheets/d/11923uPwbBZFjjGgGUA6NLw09EwE0CqkOc4q9oUmW1yo/edit?usp=sharing"",""ลำพูน!L333"")"),0)</f>
        <v>0</v>
      </c>
      <c r="M438" s="168"/>
      <c r="N438" s="168">
        <f ca="1">IFERROR(__xludf.DUMMYFUNCTION("IMPORTRANGE(""https://docs.google.com/spreadsheets/d/11923uPwbBZFjjGgGUA6NLw09EwE0CqkOc4q9oUmW1yo/edit?usp=sharing"",""ลำพูน!M333"")"),0)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IFERROR(__xludf.DUMMYFUNCTION("IMPORTRANGE(""https://docs.google.com/spreadsheets/d/11923uPwbBZFjjGgGUA6NLw09EwE0CqkOc4q9oUmW1yo/edit?usp=sharing"",""ลำพูน!L334"")"),118000)</f>
        <v>118000</v>
      </c>
      <c r="M439" s="168"/>
      <c r="N439" s="168">
        <f ca="1">IFERROR(__xludf.DUMMYFUNCTION("IMPORTRANGE(""https://docs.google.com/spreadsheets/d/11923uPwbBZFjjGgGUA6NLw09EwE0CqkOc4q9oUmW1yo/edit?usp=sharing"",""ลำพูน!M334"")"),41220)</f>
        <v>41220</v>
      </c>
      <c r="O439" s="168">
        <f t="shared" ca="1" si="114"/>
        <v>34.932203389830505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IFERROR(__xludf.DUMMYFUNCTION("IMPORTRANGE(""https://docs.google.com/spreadsheets/d/11923uPwbBZFjjGgGUA6NLw09EwE0CqkOc4q9oUmW1yo/edit?usp=sharing"",""ลำพูน!M335"")"),41220)</f>
        <v>41220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IFERROR(__xludf.DUMMYFUNCTION("IMPORTRANGE(""https://docs.google.com/spreadsheets/d/11923uPwbBZFjjGgGUA6NLw09EwE0CqkOc4q9oUmW1yo/edit?usp=sharing"",""ลำพูน!M336"")"),0)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IFERROR(__xludf.DUMMYFUNCTION("IMPORTRANGE(""https://docs.google.com/spreadsheets/d/11923uPwbBZFjjGgGUA6NLw09EwE0CqkOc4q9oUmW1yo/edit?usp=sharing"",""ลำพูน!M337"")"),0)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IFERROR(__xludf.DUMMYFUNCTION("IMPORTRANGE(""https://docs.google.com/spreadsheets/d/11923uPwbBZFjjGgGUA6NLw09EwE0CqkOc4q9oUmW1yo/edit?usp=sharing"",""ลำพูน!M338"")"),0)</f>
        <v>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IFERROR(__xludf.DUMMYFUNCTION("IMPORTRANGE(""https://docs.google.com/spreadsheets/d/11923uPwbBZFjjGgGUA6NLw09EwE0CqkOc4q9oUmW1yo/edit?usp=sharing"",""ลำพูน!J340"")"),0)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IFERROR(__xludf.DUMMYFUNCTION("IMPORTRANGE(""https://docs.google.com/spreadsheets/d/11923uPwbBZFjjGgGUA6NLw09EwE0CqkOc4q9oUmW1yo/edit?usp=sharing"",""ลำพูน!J341"")"),1)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IFERROR(__xludf.DUMMYFUNCTION("IMPORTRANGE(""https://docs.google.com/spreadsheets/d/11923uPwbBZFjjGgGUA6NLw09EwE0CqkOc4q9oUmW1yo/edit?usp=sharing"",""ลำพูน!J342"")"),1)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IFERROR(__xludf.DUMMYFUNCTION("IMPORTRANGE(""https://docs.google.com/spreadsheets/d/11923uPwbBZFjjGgGUA6NLw09EwE0CqkOc4q9oUmW1yo/edit?usp=sharing"",""ลำพูน!J343"")"),1)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IFERROR(__xludf.DUMMYFUNCTION("IMPORTRANGE(""https://docs.google.com/spreadsheets/d/11923uPwbBZFjjGgGUA6NLw09EwE0CqkOc4q9oUmW1yo/edit?usp=sharing"",""ลำพูน!I344"")"),20)</f>
        <v>20</v>
      </c>
      <c r="J449" s="200">
        <f ca="1">IFERROR(__xludf.DUMMYFUNCTION("IMPORTRANGE(""https://docs.google.com/spreadsheets/d/11923uPwbBZFjjGgGUA6NLw09EwE0CqkOc4q9oUmW1yo/edit?usp=sharing"",""ลำพูน!J344"")"),20)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IFERROR(__xludf.DUMMYFUNCTION("IMPORTRANGE(""https://docs.google.com/spreadsheets/d/11923uPwbBZFjjGgGUA6NLw09EwE0CqkOc4q9oUmW1yo/edit?usp=sharing"",""ลำพูน!I345"")"),20)</f>
        <v>20</v>
      </c>
      <c r="J450" s="188">
        <f ca="1">IFERROR(__xludf.DUMMYFUNCTION("IMPORTRANGE(""https://docs.google.com/spreadsheets/d/11923uPwbBZFjjGgGUA6NLw09EwE0CqkOc4q9oUmW1yo/edit?usp=sharing"",""ลำพูน!J345"")"),20)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IFERROR(__xludf.DUMMYFUNCTION("IMPORTRANGE(""https://docs.google.com/spreadsheets/d/11923uPwbBZFjjGgGUA6NLw09EwE0CqkOc4q9oUmW1yo/edit?usp=sharing"",""ลำพูน!I346"")"),0)</f>
        <v>0</v>
      </c>
      <c r="J451" s="187">
        <f ca="1">IFERROR(__xludf.DUMMYFUNCTION("IMPORTRANGE(""https://docs.google.com/spreadsheets/d/11923uPwbBZFjjGgGUA6NLw09EwE0CqkOc4q9oUmW1yo/edit?usp=sharing"",""ลำพูน!J346"")"),0)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IFERROR(__xludf.DUMMYFUNCTION("IMPORTRANGE(""https://docs.google.com/spreadsheets/d/11923uPwbBZFjjGgGUA6NLw09EwE0CqkOc4q9oUmW1yo/edit?usp=sharing"",""ลำพูน!I347"")"),0)</f>
        <v>0</v>
      </c>
      <c r="J452" s="187">
        <f ca="1">IFERROR(__xludf.DUMMYFUNCTION("IMPORTRANGE(""https://docs.google.com/spreadsheets/d/11923uPwbBZFjjGgGUA6NLw09EwE0CqkOc4q9oUmW1yo/edit?usp=sharing"",""ลำพูน!J347"")"),0)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IFERROR(__xludf.DUMMYFUNCTION("IMPORTRANGE(""https://docs.google.com/spreadsheets/d/11923uPwbBZFjjGgGUA6NLw09EwE0CqkOc4q9oUmW1yo/edit?usp=sharing"",""ลำพูน!J348"")"),0)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IFERROR(__xludf.DUMMYFUNCTION("IMPORTRANGE(""https://docs.google.com/spreadsheets/d/11923uPwbBZFjjGgGUA6NLw09EwE0CqkOc4q9oUmW1yo/edit?usp=sharing"",""ลำพูน!J349"")"),0)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IFERROR(__xludf.DUMMYFUNCTION("IMPORTRANGE(""https://docs.google.com/spreadsheets/d/11923uPwbBZFjjGgGUA6NLw09EwE0CqkOc4q9oUmW1yo/edit?usp=sharing"",""ลำพูน!I350"")"),41345)</f>
        <v>41345</v>
      </c>
      <c r="J455" s="370">
        <f ca="1">IFERROR(__xludf.DUMMYFUNCTION("IMPORTRANGE(""https://docs.google.com/spreadsheets/d/11923uPwbBZFjjGgGUA6NLw09EwE0CqkOc4q9oUmW1yo/edit?usp=sharing"",""ลำพูน!J350"")"),0)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IFERROR(__xludf.DUMMYFUNCTION("IMPORTRANGE(""https://docs.google.com/spreadsheets/d/11923uPwbBZFjjGgGUA6NLw09EwE0CqkOc4q9oUmW1yo/edit?usp=sharing"",""ลำพูน!L350"")"),452350)</f>
        <v>452350</v>
      </c>
      <c r="M455" s="372"/>
      <c r="N455" s="372">
        <f ca="1">IFERROR(__xludf.DUMMYFUNCTION("IMPORTRANGE(""https://docs.google.com/spreadsheets/d/11923uPwbBZFjjGgGUA6NLw09EwE0CqkOc4q9oUmW1yo/edit?usp=sharing"",""ลำพูน!M350"")"),175584)</f>
        <v>175584</v>
      </c>
      <c r="O455" s="372">
        <f t="shared" ref="O455:O459" ca="1" si="116">+IF(L455&gt;0,N455*100/L455,0)</f>
        <v>38.815961092074723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IFERROR(__xludf.DUMMYFUNCTION("IMPORTRANGE(""https://docs.google.com/spreadsheets/d/11923uPwbBZFjjGgGUA6NLw09EwE0CqkOc4q9oUmW1yo/edit?usp=sharing"",""ลำพูน!L351"")"),0)</f>
        <v>0</v>
      </c>
      <c r="M456" s="164"/>
      <c r="N456" s="168">
        <f ca="1">IFERROR(__xludf.DUMMYFUNCTION("IMPORTRANGE(""https://docs.google.com/spreadsheets/d/11923uPwbBZFjjGgGUA6NLw09EwE0CqkOc4q9oUmW1yo/edit?usp=sharing"",""ลำพูน!M351"")"),0)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IFERROR(__xludf.DUMMYFUNCTION("IMPORTRANGE(""https://docs.google.com/spreadsheets/d/11923uPwbBZFjjGgGUA6NLw09EwE0CqkOc4q9oUmW1yo/edit?usp=sharing"",""ลำพูน!L352"")"),452350)</f>
        <v>452350</v>
      </c>
      <c r="M457" s="165"/>
      <c r="N457" s="168">
        <f ca="1">IFERROR(__xludf.DUMMYFUNCTION("IMPORTRANGE(""https://docs.google.com/spreadsheets/d/11923uPwbBZFjjGgGUA6NLw09EwE0CqkOc4q9oUmW1yo/edit?usp=sharing"",""ลำพูน!M352"")"),175584)</f>
        <v>175584</v>
      </c>
      <c r="O457" s="168">
        <f t="shared" ca="1" si="116"/>
        <v>38.815961092074723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IFERROR(__xludf.DUMMYFUNCTION("IMPORTRANGE(""https://docs.google.com/spreadsheets/d/11923uPwbBZFjjGgGUA6NLw09EwE0CqkOc4q9oUmW1yo/edit?usp=sharing"",""ลำพูน!L353"")"),0)</f>
        <v>0</v>
      </c>
      <c r="M458" s="168"/>
      <c r="N458" s="168">
        <f ca="1">IFERROR(__xludf.DUMMYFUNCTION("IMPORTRANGE(""https://docs.google.com/spreadsheets/d/11923uPwbBZFjjGgGUA6NLw09EwE0CqkOc4q9oUmW1yo/edit?usp=sharing"",""ลำพูน!M353"")"),0)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IFERROR(__xludf.DUMMYFUNCTION("IMPORTRANGE(""https://docs.google.com/spreadsheets/d/11923uPwbBZFjjGgGUA6NLw09EwE0CqkOc4q9oUmW1yo/edit?usp=sharing"",""ลำพูน!L354"")"),452350)</f>
        <v>452350</v>
      </c>
      <c r="M459" s="168"/>
      <c r="N459" s="168">
        <f ca="1">IFERROR(__xludf.DUMMYFUNCTION("IMPORTRANGE(""https://docs.google.com/spreadsheets/d/11923uPwbBZFjjGgGUA6NLw09EwE0CqkOc4q9oUmW1yo/edit?usp=sharing"",""ลำพูน!M354"")"),175584)</f>
        <v>175584</v>
      </c>
      <c r="O459" s="168">
        <f t="shared" ca="1" si="116"/>
        <v>38.815961092074723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IFERROR(__xludf.DUMMYFUNCTION("IMPORTRANGE(""https://docs.google.com/spreadsheets/d/11923uPwbBZFjjGgGUA6NLw09EwE0CqkOc4q9oUmW1yo/edit?usp=sharing"",""ลำพูน!M355"")"),0)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IFERROR(__xludf.DUMMYFUNCTION("IMPORTRANGE(""https://docs.google.com/spreadsheets/d/11923uPwbBZFjjGgGUA6NLw09EwE0CqkOc4q9oUmW1yo/edit?usp=sharing"",""ลำพูน!M356"")"),0)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IFERROR(__xludf.DUMMYFUNCTION("IMPORTRANGE(""https://docs.google.com/spreadsheets/d/11923uPwbBZFjjGgGUA6NLw09EwE0CqkOc4q9oUmW1yo/edit?usp=sharing"",""ลำพูน!M357"")"),70839)</f>
        <v>70839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IFERROR(__xludf.DUMMYFUNCTION("IMPORTRANGE(""https://docs.google.com/spreadsheets/d/11923uPwbBZFjjGgGUA6NLw09EwE0CqkOc4q9oUmW1yo/edit?usp=sharing"",""ลำพูน!M358"")"),104745)</f>
        <v>104745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IFERROR(__xludf.DUMMYFUNCTION("IMPORTRANGE(""https://docs.google.com/spreadsheets/d/11923uPwbBZFjjGgGUA6NLw09EwE0CqkOc4q9oUmW1yo/edit?usp=sharing"",""ลำพูน!I359"")"),41345)</f>
        <v>41345</v>
      </c>
      <c r="J464" s="267">
        <f ca="1">IFERROR(__xludf.DUMMYFUNCTION("IMPORTRANGE(""https://docs.google.com/spreadsheets/d/11923uPwbBZFjjGgGUA6NLw09EwE0CqkOc4q9oUmW1yo/edit?usp=sharing"",""ลำพูน!J359"")"),0)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IFERROR(__xludf.DUMMYFUNCTION("IMPORTRANGE(""https://docs.google.com/spreadsheets/d/11923uPwbBZFjjGgGUA6NLw09EwE0CqkOc4q9oUmW1yo/edit?usp=sharing"",""ลำพูน!I360"")"),41345)</f>
        <v>41345</v>
      </c>
      <c r="J465" s="420">
        <f ca="1">IFERROR(__xludf.DUMMYFUNCTION("IMPORTRANGE(""https://docs.google.com/spreadsheets/d/11923uPwbBZFjjGgGUA6NLw09EwE0CqkOc4q9oUmW1yo/edit?usp=sharing"",""ลำพูน!J360"")"),41345)</f>
        <v>41345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IFERROR(__xludf.DUMMYFUNCTION("IMPORTRANGE(""https://docs.google.com/spreadsheets/d/11923uPwbBZFjjGgGUA6NLw09EwE0CqkOc4q9oUmW1yo/edit?usp=sharing"",""ลำพูน!I361"")"),6424)</f>
        <v>6424</v>
      </c>
      <c r="J466" s="420">
        <f ca="1">IFERROR(__xludf.DUMMYFUNCTION("IMPORTRANGE(""https://docs.google.com/spreadsheets/d/11923uPwbBZFjjGgGUA6NLw09EwE0CqkOc4q9oUmW1yo/edit?usp=sharing"",""ลำพูน!J361"")"),6424)</f>
        <v>6424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IFERROR(__xludf.DUMMYFUNCTION("IMPORTRANGE(""https://docs.google.com/spreadsheets/d/11923uPwbBZFjjGgGUA6NLw09EwE0CqkOc4q9oUmW1yo/edit?usp=sharing"",""ลำพูน!I362"")"),0)</f>
        <v>0</v>
      </c>
      <c r="J467" s="188">
        <f ca="1">IFERROR(__xludf.DUMMYFUNCTION("IMPORTRANGE(""https://docs.google.com/spreadsheets/d/11923uPwbBZFjjGgGUA6NLw09EwE0CqkOc4q9oUmW1yo/edit?usp=sharing"",""ลำพูน!J362"")"),30456)</f>
        <v>30456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IFERROR(__xludf.DUMMYFUNCTION("IMPORTRANGE(""https://docs.google.com/spreadsheets/d/11923uPwbBZFjjGgGUA6NLw09EwE0CqkOc4q9oUmW1yo/edit?usp=sharing"",""ลำพูน!I363"")"),0)</f>
        <v>0</v>
      </c>
      <c r="J468" s="188">
        <f ca="1">IFERROR(__xludf.DUMMYFUNCTION("IMPORTRANGE(""https://docs.google.com/spreadsheets/d/11923uPwbBZFjjGgGUA6NLw09EwE0CqkOc4q9oUmW1yo/edit?usp=sharing"",""ลำพูน!J363"")"),4984)</f>
        <v>4984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IFERROR(__xludf.DUMMYFUNCTION("IMPORTRANGE(""https://docs.google.com/spreadsheets/d/11923uPwbBZFjjGgGUA6NLw09EwE0CqkOc4q9oUmW1yo/edit?usp=sharing"",""ลำพูน!I364"")"),0)</f>
        <v>0</v>
      </c>
      <c r="J469" s="188">
        <f ca="1">IFERROR(__xludf.DUMMYFUNCTION("IMPORTRANGE(""https://docs.google.com/spreadsheets/d/11923uPwbBZFjjGgGUA6NLw09EwE0CqkOc4q9oUmW1yo/edit?usp=sharing"",""ลำพูน!J364"")"),10287)</f>
        <v>10287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IFERROR(__xludf.DUMMYFUNCTION("IMPORTRANGE(""https://docs.google.com/spreadsheets/d/11923uPwbBZFjjGgGUA6NLw09EwE0CqkOc4q9oUmW1yo/edit?usp=sharing"",""ลำพูน!I365"")"),0)</f>
        <v>0</v>
      </c>
      <c r="J470" s="188">
        <f ca="1">IFERROR(__xludf.DUMMYFUNCTION("IMPORTRANGE(""https://docs.google.com/spreadsheets/d/11923uPwbBZFjjGgGUA6NLw09EwE0CqkOc4q9oUmW1yo/edit?usp=sharing"",""ลำพูน!J365"")"),1333)</f>
        <v>1333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IFERROR(__xludf.DUMMYFUNCTION("IMPORTRANGE(""https://docs.google.com/spreadsheets/d/11923uPwbBZFjjGgGUA6NLw09EwE0CqkOc4q9oUmW1yo/edit?usp=sharing"",""ลำพูน!I366"")"),0)</f>
        <v>0</v>
      </c>
      <c r="J471" s="188">
        <f ca="1">IFERROR(__xludf.DUMMYFUNCTION("IMPORTRANGE(""https://docs.google.com/spreadsheets/d/11923uPwbBZFjjGgGUA6NLw09EwE0CqkOc4q9oUmW1yo/edit?usp=sharing"",""ลำพูน!J366"")"),602)</f>
        <v>602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IFERROR(__xludf.DUMMYFUNCTION("IMPORTRANGE(""https://docs.google.com/spreadsheets/d/11923uPwbBZFjjGgGUA6NLw09EwE0CqkOc4q9oUmW1yo/edit?usp=sharing"",""ลำพูน!I367"")"),0)</f>
        <v>0</v>
      </c>
      <c r="J472" s="188">
        <f ca="1">IFERROR(__xludf.DUMMYFUNCTION("IMPORTRANGE(""https://docs.google.com/spreadsheets/d/11923uPwbBZFjjGgGUA6NLw09EwE0CqkOc4q9oUmW1yo/edit?usp=sharing"",""ลำพูน!J367"")"),107)</f>
        <v>107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IFERROR(__xludf.DUMMYFUNCTION("IMPORTRANGE(""https://docs.google.com/spreadsheets/d/11923uPwbBZFjjGgGUA6NLw09EwE0CqkOc4q9oUmW1yo/edit?usp=sharing"",""ลำพูน!I368"")"),41345)</f>
        <v>41345</v>
      </c>
      <c r="J473" s="420">
        <f ca="1">IFERROR(__xludf.DUMMYFUNCTION("IMPORTRANGE(""https://docs.google.com/spreadsheets/d/11923uPwbBZFjjGgGUA6NLw09EwE0CqkOc4q9oUmW1yo/edit?usp=sharing"",""ลำพูน!J368"")"),41345)</f>
        <v>41345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IFERROR(__xludf.DUMMYFUNCTION("IMPORTRANGE(""https://docs.google.com/spreadsheets/d/11923uPwbBZFjjGgGUA6NLw09EwE0CqkOc4q9oUmW1yo/edit?usp=sharing"",""ลำพูน!I369"")"),6424)</f>
        <v>6424</v>
      </c>
      <c r="J474" s="420">
        <f ca="1">IFERROR(__xludf.DUMMYFUNCTION("IMPORTRANGE(""https://docs.google.com/spreadsheets/d/11923uPwbBZFjjGgGUA6NLw09EwE0CqkOc4q9oUmW1yo/edit?usp=sharing"",""ลำพูน!J369"")"),6424)</f>
        <v>6424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IFERROR(__xludf.DUMMYFUNCTION("IMPORTRANGE(""https://docs.google.com/spreadsheets/d/11923uPwbBZFjjGgGUA6NLw09EwE0CqkOc4q9oUmW1yo/edit?usp=sharing"",""ลำพูน!I370"")"),0)</f>
        <v>0</v>
      </c>
      <c r="J475" s="188">
        <f ca="1">IFERROR(__xludf.DUMMYFUNCTION("IMPORTRANGE(""https://docs.google.com/spreadsheets/d/11923uPwbBZFjjGgGUA6NLw09EwE0CqkOc4q9oUmW1yo/edit?usp=sharing"",""ลำพูน!J370"")"),30456)</f>
        <v>30456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IFERROR(__xludf.DUMMYFUNCTION("IMPORTRANGE(""https://docs.google.com/spreadsheets/d/11923uPwbBZFjjGgGUA6NLw09EwE0CqkOc4q9oUmW1yo/edit?usp=sharing"",""ลำพูน!I371"")"),0)</f>
        <v>0</v>
      </c>
      <c r="J476" s="188">
        <f ca="1">IFERROR(__xludf.DUMMYFUNCTION("IMPORTRANGE(""https://docs.google.com/spreadsheets/d/11923uPwbBZFjjGgGUA6NLw09EwE0CqkOc4q9oUmW1yo/edit?usp=sharing"",""ลำพูน!J371"")"),4984)</f>
        <v>4984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IFERROR(__xludf.DUMMYFUNCTION("IMPORTRANGE(""https://docs.google.com/spreadsheets/d/11923uPwbBZFjjGgGUA6NLw09EwE0CqkOc4q9oUmW1yo/edit?usp=sharing"",""ลำพูน!I372"")"),0)</f>
        <v>0</v>
      </c>
      <c r="J477" s="188">
        <f ca="1">IFERROR(__xludf.DUMMYFUNCTION("IMPORTRANGE(""https://docs.google.com/spreadsheets/d/11923uPwbBZFjjGgGUA6NLw09EwE0CqkOc4q9oUmW1yo/edit?usp=sharing"",""ลำพูน!J372"")"),10287)</f>
        <v>10287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IFERROR(__xludf.DUMMYFUNCTION("IMPORTRANGE(""https://docs.google.com/spreadsheets/d/11923uPwbBZFjjGgGUA6NLw09EwE0CqkOc4q9oUmW1yo/edit?usp=sharing"",""ลำพูน!I373"")"),0)</f>
        <v>0</v>
      </c>
      <c r="J478" s="188">
        <f ca="1">IFERROR(__xludf.DUMMYFUNCTION("IMPORTRANGE(""https://docs.google.com/spreadsheets/d/11923uPwbBZFjjGgGUA6NLw09EwE0CqkOc4q9oUmW1yo/edit?usp=sharing"",""ลำพูน!J373"")"),1333)</f>
        <v>1333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IFERROR(__xludf.DUMMYFUNCTION("IMPORTRANGE(""https://docs.google.com/spreadsheets/d/11923uPwbBZFjjGgGUA6NLw09EwE0CqkOc4q9oUmW1yo/edit?usp=sharing"",""ลำพูน!I374"")"),0)</f>
        <v>0</v>
      </c>
      <c r="J479" s="188">
        <f ca="1">IFERROR(__xludf.DUMMYFUNCTION("IMPORTRANGE(""https://docs.google.com/spreadsheets/d/11923uPwbBZFjjGgGUA6NLw09EwE0CqkOc4q9oUmW1yo/edit?usp=sharing"",""ลำพูน!J374"")"),602)</f>
        <v>602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IFERROR(__xludf.DUMMYFUNCTION("IMPORTRANGE(""https://docs.google.com/spreadsheets/d/11923uPwbBZFjjGgGUA6NLw09EwE0CqkOc4q9oUmW1yo/edit?usp=sharing"",""ลำพูน!I375"")"),0)</f>
        <v>0</v>
      </c>
      <c r="J480" s="188">
        <f ca="1">IFERROR(__xludf.DUMMYFUNCTION("IMPORTRANGE(""https://docs.google.com/spreadsheets/d/11923uPwbBZFjjGgGUA6NLw09EwE0CqkOc4q9oUmW1yo/edit?usp=sharing"",""ลำพูน!J375"")"),107)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IFERROR(__xludf.DUMMYFUNCTION("IMPORTRANGE(""https://docs.google.com/spreadsheets/d/11923uPwbBZFjjGgGUA6NLw09EwE0CqkOc4q9oUmW1yo/edit?usp=sharing"",""ลำพูน!I376"")"),41345)</f>
        <v>41345</v>
      </c>
      <c r="J481" s="420">
        <f ca="1">IFERROR(__xludf.DUMMYFUNCTION("IMPORTRANGE(""https://docs.google.com/spreadsheets/d/11923uPwbBZFjjGgGUA6NLw09EwE0CqkOc4q9oUmW1yo/edit?usp=sharing"",""ลำพูน!J376"")"),0)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IFERROR(__xludf.DUMMYFUNCTION("IMPORTRANGE(""https://docs.google.com/spreadsheets/d/11923uPwbBZFjjGgGUA6NLw09EwE0CqkOc4q9oUmW1yo/edit?usp=sharing"",""ลำพูน!I377"")"),6424)</f>
        <v>6424</v>
      </c>
      <c r="J482" s="420">
        <f ca="1">IFERROR(__xludf.DUMMYFUNCTION("IMPORTRANGE(""https://docs.google.com/spreadsheets/d/11923uPwbBZFjjGgGUA6NLw09EwE0CqkOc4q9oUmW1yo/edit?usp=sharing"",""ลำพูน!J377"")"),0)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IFERROR(__xludf.DUMMYFUNCTION("IMPORTRANGE(""https://docs.google.com/spreadsheets/d/11923uPwbBZFjjGgGUA6NLw09EwE0CqkOc4q9oUmW1yo/edit?usp=sharing"",""ลำพูน!I378"")"),0)</f>
        <v>0</v>
      </c>
      <c r="J483" s="188">
        <f ca="1">IFERROR(__xludf.DUMMYFUNCTION("IMPORTRANGE(""https://docs.google.com/spreadsheets/d/11923uPwbBZFjjGgGUA6NLw09EwE0CqkOc4q9oUmW1yo/edit?usp=sharing"",""ลำพูน!J378"")"),0)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IFERROR(__xludf.DUMMYFUNCTION("IMPORTRANGE(""https://docs.google.com/spreadsheets/d/11923uPwbBZFjjGgGUA6NLw09EwE0CqkOc4q9oUmW1yo/edit?usp=sharing"",""ลำพูน!I379"")"),0)</f>
        <v>0</v>
      </c>
      <c r="J484" s="188">
        <f ca="1">IFERROR(__xludf.DUMMYFUNCTION("IMPORTRANGE(""https://docs.google.com/spreadsheets/d/11923uPwbBZFjjGgGUA6NLw09EwE0CqkOc4q9oUmW1yo/edit?usp=sharing"",""ลำพูน!J379"")"),0)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IFERROR(__xludf.DUMMYFUNCTION("IMPORTRANGE(""https://docs.google.com/spreadsheets/d/11923uPwbBZFjjGgGUA6NLw09EwE0CqkOc4q9oUmW1yo/edit?usp=sharing"",""ลำพูน!I380"")"),0)</f>
        <v>0</v>
      </c>
      <c r="J485" s="188">
        <f ca="1">IFERROR(__xludf.DUMMYFUNCTION("IMPORTRANGE(""https://docs.google.com/spreadsheets/d/11923uPwbBZFjjGgGUA6NLw09EwE0CqkOc4q9oUmW1yo/edit?usp=sharing"",""ลำพูน!J380"")"),0)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IFERROR(__xludf.DUMMYFUNCTION("IMPORTRANGE(""https://docs.google.com/spreadsheets/d/11923uPwbBZFjjGgGUA6NLw09EwE0CqkOc4q9oUmW1yo/edit?usp=sharing"",""ลำพูน!I381"")"),0)</f>
        <v>0</v>
      </c>
      <c r="J486" s="188">
        <f ca="1">IFERROR(__xludf.DUMMYFUNCTION("IMPORTRANGE(""https://docs.google.com/spreadsheets/d/11923uPwbBZFjjGgGUA6NLw09EwE0CqkOc4q9oUmW1yo/edit?usp=sharing"",""ลำพูน!J381"")"),0)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IFERROR(__xludf.DUMMYFUNCTION("IMPORTRANGE(""https://docs.google.com/spreadsheets/d/11923uPwbBZFjjGgGUA6NLw09EwE0CqkOc4q9oUmW1yo/edit?usp=sharing"",""ลำพูน!I382"")"),0)</f>
        <v>0</v>
      </c>
      <c r="J487" s="420">
        <f ca="1">IFERROR(__xludf.DUMMYFUNCTION("IMPORTRANGE(""https://docs.google.com/spreadsheets/d/11923uPwbBZFjjGgGUA6NLw09EwE0CqkOc4q9oUmW1yo/edit?usp=sharing"",""ลำพูน!J382"")"),0)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IFERROR(__xludf.DUMMYFUNCTION("IMPORTRANGE(""https://docs.google.com/spreadsheets/d/11923uPwbBZFjjGgGUA6NLw09EwE0CqkOc4q9oUmW1yo/edit?usp=sharing"",""ลำพูน!I383"")"),0)</f>
        <v>0</v>
      </c>
      <c r="J488" s="420">
        <f ca="1">IFERROR(__xludf.DUMMYFUNCTION("IMPORTRANGE(""https://docs.google.com/spreadsheets/d/11923uPwbBZFjjGgGUA6NLw09EwE0CqkOc4q9oUmW1yo/edit?usp=sharing"",""ลำพูน!J383"")"),0)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IFERROR(__xludf.DUMMYFUNCTION("IMPORTRANGE(""https://docs.google.com/spreadsheets/d/11923uPwbBZFjjGgGUA6NLw09EwE0CqkOc4q9oUmW1yo/edit?usp=sharing"",""ลำพูน!I384"")"),0)</f>
        <v>0</v>
      </c>
      <c r="J489" s="188">
        <f ca="1">IFERROR(__xludf.DUMMYFUNCTION("IMPORTRANGE(""https://docs.google.com/spreadsheets/d/11923uPwbBZFjjGgGUA6NLw09EwE0CqkOc4q9oUmW1yo/edit?usp=sharing"",""ลำพูน!J384"")"),0)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IFERROR(__xludf.DUMMYFUNCTION("IMPORTRANGE(""https://docs.google.com/spreadsheets/d/11923uPwbBZFjjGgGUA6NLw09EwE0CqkOc4q9oUmW1yo/edit?usp=sharing"",""ลำพูน!I385"")"),0)</f>
        <v>0</v>
      </c>
      <c r="J490" s="188">
        <f ca="1">IFERROR(__xludf.DUMMYFUNCTION("IMPORTRANGE(""https://docs.google.com/spreadsheets/d/11923uPwbBZFjjGgGUA6NLw09EwE0CqkOc4q9oUmW1yo/edit?usp=sharing"",""ลำพูน!J385"")"),0)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IFERROR(__xludf.DUMMYFUNCTION("IMPORTRANGE(""https://docs.google.com/spreadsheets/d/11923uPwbBZFjjGgGUA6NLw09EwE0CqkOc4q9oUmW1yo/edit?usp=sharing"",""ลำพูน!I386"")"),0)</f>
        <v>0</v>
      </c>
      <c r="J491" s="188">
        <f ca="1">IFERROR(__xludf.DUMMYFUNCTION("IMPORTRANGE(""https://docs.google.com/spreadsheets/d/11923uPwbBZFjjGgGUA6NLw09EwE0CqkOc4q9oUmW1yo/edit?usp=sharing"",""ลำพูน!J386"")"),0)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IFERROR(__xludf.DUMMYFUNCTION("IMPORTRANGE(""https://docs.google.com/spreadsheets/d/11923uPwbBZFjjGgGUA6NLw09EwE0CqkOc4q9oUmW1yo/edit?usp=sharing"",""ลำพูน!I387"")"),0)</f>
        <v>0</v>
      </c>
      <c r="J492" s="188">
        <f ca="1">IFERROR(__xludf.DUMMYFUNCTION("IMPORTRANGE(""https://docs.google.com/spreadsheets/d/11923uPwbBZFjjGgGUA6NLw09EwE0CqkOc4q9oUmW1yo/edit?usp=sharing"",""ลำพูน!J387"")"),0)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IFERROR(__xludf.DUMMYFUNCTION("IMPORTRANGE(""https://docs.google.com/spreadsheets/d/11923uPwbBZFjjGgGUA6NLw09EwE0CqkOc4q9oUmW1yo/edit?usp=sharing"",""ลำพูน!I388"")"),0)</f>
        <v>0</v>
      </c>
      <c r="J493" s="188">
        <f ca="1">IFERROR(__xludf.DUMMYFUNCTION("IMPORTRANGE(""https://docs.google.com/spreadsheets/d/11923uPwbBZFjjGgGUA6NLw09EwE0CqkOc4q9oUmW1yo/edit?usp=sharing"",""ลำพูน!J388"")"),0)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IFERROR(__xludf.DUMMYFUNCTION("IMPORTRANGE(""https://docs.google.com/spreadsheets/d/11923uPwbBZFjjGgGUA6NLw09EwE0CqkOc4q9oUmW1yo/edit?usp=sharing"",""ลำพูน!I389"")"),0)</f>
        <v>0</v>
      </c>
      <c r="J494" s="436">
        <f ca="1">IFERROR(__xludf.DUMMYFUNCTION("IMPORTRANGE(""https://docs.google.com/spreadsheets/d/11923uPwbBZFjjGgGUA6NLw09EwE0CqkOc4q9oUmW1yo/edit?usp=sharing"",""ลำพูน!J389"")"),0)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IFERROR(__xludf.DUMMYFUNCTION("IMPORTRANGE(""https://docs.google.com/spreadsheets/d/11923uPwbBZFjjGgGUA6NLw09EwE0CqkOc4q9oUmW1yo/edit?usp=sharing"",""ลำพูน!I390"")"),0)</f>
        <v>0</v>
      </c>
      <c r="J495" s="436">
        <f ca="1">IFERROR(__xludf.DUMMYFUNCTION("IMPORTRANGE(""https://docs.google.com/spreadsheets/d/11923uPwbBZFjjGgGUA6NLw09EwE0CqkOc4q9oUmW1yo/edit?usp=sharing"",""ลำพูน!J390"")"),0)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IFERROR(__xludf.DUMMYFUNCTION("IMPORTRANGE(""https://docs.google.com/spreadsheets/d/11923uPwbBZFjjGgGUA6NLw09EwE0CqkOc4q9oUmW1yo/edit?usp=sharing"",""ลำพูน!I391"")"),0)</f>
        <v>0</v>
      </c>
      <c r="J496" s="436">
        <f ca="1">IFERROR(__xludf.DUMMYFUNCTION("IMPORTRANGE(""https://docs.google.com/spreadsheets/d/11923uPwbBZFjjGgGUA6NLw09EwE0CqkOc4q9oUmW1yo/edit?usp=sharing"",""ลำพูน!J391"")"),0)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IFERROR(__xludf.DUMMYFUNCTION("IMPORTRANGE(""https://docs.google.com/spreadsheets/d/11923uPwbBZFjjGgGUA6NLw09EwE0CqkOc4q9oUmW1yo/edit?usp=sharing"",""ลำพูน!I392"")"),138)</f>
        <v>138</v>
      </c>
      <c r="J497" s="443">
        <f ca="1">IFERROR(__xludf.DUMMYFUNCTION("IMPORTRANGE(""https://docs.google.com/spreadsheets/d/11923uPwbBZFjjGgGUA6NLw09EwE0CqkOc4q9oUmW1yo/edit?usp=sharing"",""ลำพูน!J392"")"),138)</f>
        <v>138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IFERROR(__xludf.DUMMYFUNCTION("IMPORTRANGE(""https://docs.google.com/spreadsheets/d/11923uPwbBZFjjGgGUA6NLw09EwE0CqkOc4q9oUmW1yo/edit?usp=sharing"",""ลำพูน!I393"")"),138)</f>
        <v>138</v>
      </c>
      <c r="J498" s="420">
        <f ca="1">IFERROR(__xludf.DUMMYFUNCTION("IMPORTRANGE(""https://docs.google.com/spreadsheets/d/11923uPwbBZFjjGgGUA6NLw09EwE0CqkOc4q9oUmW1yo/edit?usp=sharing"",""ลำพูน!J393"")"),138)</f>
        <v>138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IFERROR(__xludf.DUMMYFUNCTION("IMPORTRANGE(""https://docs.google.com/spreadsheets/d/11923uPwbBZFjjGgGUA6NLw09EwE0CqkOc4q9oUmW1yo/edit?usp=sharing"",""ลำพูน!I394"")"),17)</f>
        <v>17</v>
      </c>
      <c r="J499" s="420">
        <f ca="1">IFERROR(__xludf.DUMMYFUNCTION("IMPORTRANGE(""https://docs.google.com/spreadsheets/d/11923uPwbBZFjjGgGUA6NLw09EwE0CqkOc4q9oUmW1yo/edit?usp=sharing"",""ลำพูน!J394"")"),17)</f>
        <v>17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IFERROR(__xludf.DUMMYFUNCTION("IMPORTRANGE(""https://docs.google.com/spreadsheets/d/11923uPwbBZFjjGgGUA6NLw09EwE0CqkOc4q9oUmW1yo/edit?usp=sharing"",""ลำพูน!I395"")"),0)</f>
        <v>0</v>
      </c>
      <c r="J500" s="162">
        <f ca="1">IFERROR(__xludf.DUMMYFUNCTION("IMPORTRANGE(""https://docs.google.com/spreadsheets/d/11923uPwbBZFjjGgGUA6NLw09EwE0CqkOc4q9oUmW1yo/edit?usp=sharing"",""ลำพูน!J395"")"),138)</f>
        <v>138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IFERROR(__xludf.DUMMYFUNCTION("IMPORTRANGE(""https://docs.google.com/spreadsheets/d/11923uPwbBZFjjGgGUA6NLw09EwE0CqkOc4q9oUmW1yo/edit?usp=sharing"",""ลำพูน!I396"")"),0)</f>
        <v>0</v>
      </c>
      <c r="J501" s="162">
        <f ca="1">IFERROR(__xludf.DUMMYFUNCTION("IMPORTRANGE(""https://docs.google.com/spreadsheets/d/11923uPwbBZFjjGgGUA6NLw09EwE0CqkOc4q9oUmW1yo/edit?usp=sharing"",""ลำพูน!J396"")"),17)</f>
        <v>17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IFERROR(__xludf.DUMMYFUNCTION("IMPORTRANGE(""https://docs.google.com/spreadsheets/d/11923uPwbBZFjjGgGUA6NLw09EwE0CqkOc4q9oUmW1yo/edit?usp=sharing"",""ลำพูน!I397"")"),0)</f>
        <v>0</v>
      </c>
      <c r="J502" s="188">
        <f ca="1">IFERROR(__xludf.DUMMYFUNCTION("IMPORTRANGE(""https://docs.google.com/spreadsheets/d/11923uPwbBZFjjGgGUA6NLw09EwE0CqkOc4q9oUmW1yo/edit?usp=sharing"",""ลำพูน!J397"")"),138)</f>
        <v>138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IFERROR(__xludf.DUMMYFUNCTION("IMPORTRANGE(""https://docs.google.com/spreadsheets/d/11923uPwbBZFjjGgGUA6NLw09EwE0CqkOc4q9oUmW1yo/edit?usp=sharing"",""ลำพูน!I398"")"),0)</f>
        <v>0</v>
      </c>
      <c r="J503" s="197">
        <f ca="1">IFERROR(__xludf.DUMMYFUNCTION("IMPORTRANGE(""https://docs.google.com/spreadsheets/d/11923uPwbBZFjjGgGUA6NLw09EwE0CqkOc4q9oUmW1yo/edit?usp=sharing"",""ลำพูน!J398"")"),17)</f>
        <v>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IFERROR(__xludf.DUMMYFUNCTION("IMPORTRANGE(""https://docs.google.com/spreadsheets/d/11923uPwbBZFjjGgGUA6NLw09EwE0CqkOc4q9oUmW1yo/edit?usp=sharing"",""ลำพูน!I399"")"),0)</f>
        <v>0</v>
      </c>
      <c r="J504" s="188">
        <f ca="1">IFERROR(__xludf.DUMMYFUNCTION("IMPORTRANGE(""https://docs.google.com/spreadsheets/d/11923uPwbBZFjjGgGUA6NLw09EwE0CqkOc4q9oUmW1yo/edit?usp=sharing"",""ลำพูน!J399"")"),0)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IFERROR(__xludf.DUMMYFUNCTION("IMPORTRANGE(""https://docs.google.com/spreadsheets/d/11923uPwbBZFjjGgGUA6NLw09EwE0CqkOc4q9oUmW1yo/edit?usp=sharing"",""ลำพูน!I400"")"),0)</f>
        <v>0</v>
      </c>
      <c r="J505" s="197">
        <f ca="1">IFERROR(__xludf.DUMMYFUNCTION("IMPORTRANGE(""https://docs.google.com/spreadsheets/d/11923uPwbBZFjjGgGUA6NLw09EwE0CqkOc4q9oUmW1yo/edit?usp=sharing"",""ลำพูน!J400"")"),0)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IFERROR(__xludf.DUMMYFUNCTION("IMPORTRANGE(""https://docs.google.com/spreadsheets/d/11923uPwbBZFjjGgGUA6NLw09EwE0CqkOc4q9oUmW1yo/edit?usp=sharing"",""ลำพูน!I401"")"),0)</f>
        <v>0</v>
      </c>
      <c r="J506" s="188">
        <f ca="1">IFERROR(__xludf.DUMMYFUNCTION("IMPORTRANGE(""https://docs.google.com/spreadsheets/d/11923uPwbBZFjjGgGUA6NLw09EwE0CqkOc4q9oUmW1yo/edit?usp=sharing"",""ลำพูน!J401"")"),0)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IFERROR(__xludf.DUMMYFUNCTION("IMPORTRANGE(""https://docs.google.com/spreadsheets/d/11923uPwbBZFjjGgGUA6NLw09EwE0CqkOc4q9oUmW1yo/edit?usp=sharing"",""ลำพูน!I402"")"),0)</f>
        <v>0</v>
      </c>
      <c r="J507" s="197">
        <f ca="1">IFERROR(__xludf.DUMMYFUNCTION("IMPORTRANGE(""https://docs.google.com/spreadsheets/d/11923uPwbBZFjjGgGUA6NLw09EwE0CqkOc4q9oUmW1yo/edit?usp=sharing"",""ลำพูน!J402"")"),0)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IFERROR(__xludf.DUMMYFUNCTION("IMPORTRANGE(""https://docs.google.com/spreadsheets/d/11923uPwbBZFjjGgGUA6NLw09EwE0CqkOc4q9oUmW1yo/edit?usp=sharing"",""ลำพูน!I403"")"),0)</f>
        <v>0</v>
      </c>
      <c r="J508" s="162">
        <f ca="1">IFERROR(__xludf.DUMMYFUNCTION("IMPORTRANGE(""https://docs.google.com/spreadsheets/d/11923uPwbBZFjjGgGUA6NLw09EwE0CqkOc4q9oUmW1yo/edit?usp=sharing"",""ลำพูน!J403"")"),0)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IFERROR(__xludf.DUMMYFUNCTION("IMPORTRANGE(""https://docs.google.com/spreadsheets/d/11923uPwbBZFjjGgGUA6NLw09EwE0CqkOc4q9oUmW1yo/edit?usp=sharing"",""ลำพูน!I404"")"),0)</f>
        <v>0</v>
      </c>
      <c r="J509" s="162">
        <f ca="1">IFERROR(__xludf.DUMMYFUNCTION("IMPORTRANGE(""https://docs.google.com/spreadsheets/d/11923uPwbBZFjjGgGUA6NLw09EwE0CqkOc4q9oUmW1yo/edit?usp=sharing"",""ลำพูน!J404"")"),0)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IFERROR(__xludf.DUMMYFUNCTION("IMPORTRANGE(""https://docs.google.com/spreadsheets/d/11923uPwbBZFjjGgGUA6NLw09EwE0CqkOc4q9oUmW1yo/edit?usp=sharing"",""ลำพูน!I405"")"),0)</f>
        <v>0</v>
      </c>
      <c r="J510" s="197">
        <f ca="1">IFERROR(__xludf.DUMMYFUNCTION("IMPORTRANGE(""https://docs.google.com/spreadsheets/d/11923uPwbBZFjjGgGUA6NLw09EwE0CqkOc4q9oUmW1yo/edit?usp=sharing"",""ลำพูน!J405"")"),0)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IFERROR(__xludf.DUMMYFUNCTION("IMPORTRANGE(""https://docs.google.com/spreadsheets/d/11923uPwbBZFjjGgGUA6NLw09EwE0CqkOc4q9oUmW1yo/edit?usp=sharing"",""ลำพูน!I406"")"),0)</f>
        <v>0</v>
      </c>
      <c r="J511" s="197">
        <f ca="1">IFERROR(__xludf.DUMMYFUNCTION("IMPORTRANGE(""https://docs.google.com/spreadsheets/d/11923uPwbBZFjjGgGUA6NLw09EwE0CqkOc4q9oUmW1yo/edit?usp=sharing"",""ลำพูน!J406"")"),0)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IFERROR(__xludf.DUMMYFUNCTION("IMPORTRANGE(""https://docs.google.com/spreadsheets/d/11923uPwbBZFjjGgGUA6NLw09EwE0CqkOc4q9oUmW1yo/edit?usp=sharing"",""ลำพูน!I407"")"),0)</f>
        <v>0</v>
      </c>
      <c r="J512" s="197">
        <f ca="1">IFERROR(__xludf.DUMMYFUNCTION("IMPORTRANGE(""https://docs.google.com/spreadsheets/d/11923uPwbBZFjjGgGUA6NLw09EwE0CqkOc4q9oUmW1yo/edit?usp=sharing"",""ลำพูน!J407"")"),0)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IFERROR(__xludf.DUMMYFUNCTION("IMPORTRANGE(""https://docs.google.com/spreadsheets/d/11923uPwbBZFjjGgGUA6NLw09EwE0CqkOc4q9oUmW1yo/edit?usp=sharing"",""ลำพูน!I408"")"),0)</f>
        <v>0</v>
      </c>
      <c r="J513" s="197">
        <f ca="1">IFERROR(__xludf.DUMMYFUNCTION("IMPORTRANGE(""https://docs.google.com/spreadsheets/d/11923uPwbBZFjjGgGUA6NLw09EwE0CqkOc4q9oUmW1yo/edit?usp=sharing"",""ลำพูน!J408"")"),0)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IFERROR(__xludf.DUMMYFUNCTION("IMPORTRANGE(""https://docs.google.com/spreadsheets/d/11923uPwbBZFjjGgGUA6NLw09EwE0CqkOc4q9oUmW1yo/edit?usp=sharing"",""ลำพูน!I409"")"),0)</f>
        <v>0</v>
      </c>
      <c r="J514" s="197">
        <f ca="1">IFERROR(__xludf.DUMMYFUNCTION("IMPORTRANGE(""https://docs.google.com/spreadsheets/d/11923uPwbBZFjjGgGUA6NLw09EwE0CqkOc4q9oUmW1yo/edit?usp=sharing"",""ลำพูน!J409"")"),0)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IFERROR(__xludf.DUMMYFUNCTION("IMPORTRANGE(""https://docs.google.com/spreadsheets/d/11923uPwbBZFjjGgGUA6NLw09EwE0CqkOc4q9oUmW1yo/edit?usp=sharing"",""ลำพูน!I410"")"),0)</f>
        <v>0</v>
      </c>
      <c r="J515" s="197">
        <f ca="1">IFERROR(__xludf.DUMMYFUNCTION("IMPORTRANGE(""https://docs.google.com/spreadsheets/d/11923uPwbBZFjjGgGUA6NLw09EwE0CqkOc4q9oUmW1yo/edit?usp=sharing"",""ลำพูน!J410"")"),0)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IFERROR(__xludf.DUMMYFUNCTION("IMPORTRANGE(""https://docs.google.com/spreadsheets/d/11923uPwbBZFjjGgGUA6NLw09EwE0CqkOc4q9oUmW1yo/edit?usp=sharing"",""ลำพูน!I411"")"),0)</f>
        <v>0</v>
      </c>
      <c r="J516" s="267">
        <f ca="1">IFERROR(__xludf.DUMMYFUNCTION("IMPORTRANGE(""https://docs.google.com/spreadsheets/d/11923uPwbBZFjjGgGUA6NLw09EwE0CqkOc4q9oUmW1yo/edit?usp=sharing"",""ลำพูน!J411"")"),0)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IFERROR(__xludf.DUMMYFUNCTION("IMPORTRANGE(""https://docs.google.com/spreadsheets/d/11923uPwbBZFjjGgGUA6NLw09EwE0CqkOc4q9oUmW1yo/edit?usp=sharing"",""ลำพูน!I412"")"),0)</f>
        <v>0</v>
      </c>
      <c r="J517" s="284">
        <f ca="1">IFERROR(__xludf.DUMMYFUNCTION("IMPORTRANGE(""https://docs.google.com/spreadsheets/d/11923uPwbBZFjjGgGUA6NLw09EwE0CqkOc4q9oUmW1yo/edit?usp=sharing"",""ลำพูน!J412"")"),0)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IFERROR(__xludf.DUMMYFUNCTION("IMPORTRANGE(""https://docs.google.com/spreadsheets/d/11923uPwbBZFjjGgGUA6NLw09EwE0CqkOc4q9oUmW1yo/edit?usp=sharing"",""ลำพูน!I413"")"),0)</f>
        <v>0</v>
      </c>
      <c r="J518" s="284">
        <f ca="1">IFERROR(__xludf.DUMMYFUNCTION("IMPORTRANGE(""https://docs.google.com/spreadsheets/d/11923uPwbBZFjjGgGUA6NLw09EwE0CqkOc4q9oUmW1yo/edit?usp=sharing"",""ลำพูน!J413"")"),0)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IFERROR(__xludf.DUMMYFUNCTION("IMPORTRANGE(""https://docs.google.com/spreadsheets/d/11923uPwbBZFjjGgGUA6NLw09EwE0CqkOc4q9oUmW1yo/edit?usp=sharing"",""ลำพูน!I414"")"),0)</f>
        <v>0</v>
      </c>
      <c r="J519" s="187">
        <f ca="1">IFERROR(__xludf.DUMMYFUNCTION("IMPORTRANGE(""https://docs.google.com/spreadsheets/d/11923uPwbBZFjjGgGUA6NLw09EwE0CqkOc4q9oUmW1yo/edit?usp=sharing"",""ลำพูน!J414"")"),0)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IFERROR(__xludf.DUMMYFUNCTION("IMPORTRANGE(""https://docs.google.com/spreadsheets/d/11923uPwbBZFjjGgGUA6NLw09EwE0CqkOc4q9oUmW1yo/edit?usp=sharing"",""ลำพูน!I415"")"),0)</f>
        <v>0</v>
      </c>
      <c r="J520" s="187">
        <f ca="1">IFERROR(__xludf.DUMMYFUNCTION("IMPORTRANGE(""https://docs.google.com/spreadsheets/d/11923uPwbBZFjjGgGUA6NLw09EwE0CqkOc4q9oUmW1yo/edit?usp=sharing"",""ลำพูน!J415"")"),0)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IFERROR(__xludf.DUMMYFUNCTION("IMPORTRANGE(""https://docs.google.com/spreadsheets/d/11923uPwbBZFjjGgGUA6NLw09EwE0CqkOc4q9oUmW1yo/edit?usp=sharing"",""ลำพูน!I416"")"),0)</f>
        <v>0</v>
      </c>
      <c r="J521" s="187">
        <f ca="1">IFERROR(__xludf.DUMMYFUNCTION("IMPORTRANGE(""https://docs.google.com/spreadsheets/d/11923uPwbBZFjjGgGUA6NLw09EwE0CqkOc4q9oUmW1yo/edit?usp=sharing"",""ลำพูน!J416"")"),0)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IFERROR(__xludf.DUMMYFUNCTION("IMPORTRANGE(""https://docs.google.com/spreadsheets/d/11923uPwbBZFjjGgGUA6NLw09EwE0CqkOc4q9oUmW1yo/edit?usp=sharing"",""ลำพูน!I417"")"),0)</f>
        <v>0</v>
      </c>
      <c r="J522" s="187">
        <f ca="1">IFERROR(__xludf.DUMMYFUNCTION("IMPORTRANGE(""https://docs.google.com/spreadsheets/d/11923uPwbBZFjjGgGUA6NLw09EwE0CqkOc4q9oUmW1yo/edit?usp=sharing"",""ลำพูน!J417"")"),0)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IFERROR(__xludf.DUMMYFUNCTION("IMPORTRANGE(""https://docs.google.com/spreadsheets/d/11923uPwbBZFjjGgGUA6NLw09EwE0CqkOc4q9oUmW1yo/edit?usp=sharing"",""ลำพูน!I418"")"),0)</f>
        <v>0</v>
      </c>
      <c r="J523" s="187">
        <f ca="1">IFERROR(__xludf.DUMMYFUNCTION("IMPORTRANGE(""https://docs.google.com/spreadsheets/d/11923uPwbBZFjjGgGUA6NLw09EwE0CqkOc4q9oUmW1yo/edit?usp=sharing"",""ลำพูน!J418"")"),157)</f>
        <v>157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IFERROR(__xludf.DUMMYFUNCTION("IMPORTRANGE(""https://docs.google.com/spreadsheets/d/11923uPwbBZFjjGgGUA6NLw09EwE0CqkOc4q9oUmW1yo/edit?usp=sharing"",""ลำพูน!I419"")"),0)</f>
        <v>0</v>
      </c>
      <c r="J524" s="187">
        <f ca="1">IFERROR(__xludf.DUMMYFUNCTION("IMPORTRANGE(""https://docs.google.com/spreadsheets/d/11923uPwbBZFjjGgGUA6NLw09EwE0CqkOc4q9oUmW1yo/edit?usp=sharing"",""ลำพูน!J419"")"),18)</f>
        <v>18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IFERROR(__xludf.DUMMYFUNCTION("IMPORTRANGE(""https://docs.google.com/spreadsheets/d/11923uPwbBZFjjGgGUA6NLw09EwE0CqkOc4q9oUmW1yo/edit?usp=sharing"",""ลำพูน!I420"")"),157)</f>
        <v>157</v>
      </c>
      <c r="J525" s="284">
        <f ca="1">IFERROR(__xludf.DUMMYFUNCTION("IMPORTRANGE(""https://docs.google.com/spreadsheets/d/11923uPwbBZFjjGgGUA6NLw09EwE0CqkOc4q9oUmW1yo/edit?usp=sharing"",""ลำพูน!J420"")"),157)</f>
        <v>157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IFERROR(__xludf.DUMMYFUNCTION("IMPORTRANGE(""https://docs.google.com/spreadsheets/d/11923uPwbBZFjjGgGUA6NLw09EwE0CqkOc4q9oUmW1yo/edit?usp=sharing"",""ลำพูน!I421"")"),18)</f>
        <v>18</v>
      </c>
      <c r="J526" s="284">
        <f ca="1">IFERROR(__xludf.DUMMYFUNCTION("IMPORTRANGE(""https://docs.google.com/spreadsheets/d/11923uPwbBZFjjGgGUA6NLw09EwE0CqkOc4q9oUmW1yo/edit?usp=sharing"",""ลำพูน!J421"")"),18)</f>
        <v>18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IFERROR(__xludf.DUMMYFUNCTION("IMPORTRANGE(""https://docs.google.com/spreadsheets/d/11923uPwbBZFjjGgGUA6NLw09EwE0CqkOc4q9oUmW1yo/edit?usp=sharing"",""ลำพูน!I422"")"),0)</f>
        <v>0</v>
      </c>
      <c r="J527" s="197">
        <f ca="1">IFERROR(__xludf.DUMMYFUNCTION("IMPORTRANGE(""https://docs.google.com/spreadsheets/d/11923uPwbBZFjjGgGUA6NLw09EwE0CqkOc4q9oUmW1yo/edit?usp=sharing"",""ลำพูน!J422"")"),19)</f>
        <v>19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IFERROR(__xludf.DUMMYFUNCTION("IMPORTRANGE(""https://docs.google.com/spreadsheets/d/11923uPwbBZFjjGgGUA6NLw09EwE0CqkOc4q9oUmW1yo/edit?usp=sharing"",""ลำพูน!I423"")"),0)</f>
        <v>0</v>
      </c>
      <c r="J528" s="197">
        <f ca="1">IFERROR(__xludf.DUMMYFUNCTION("IMPORTRANGE(""https://docs.google.com/spreadsheets/d/11923uPwbBZFjjGgGUA6NLw09EwE0CqkOc4q9oUmW1yo/edit?usp=sharing"",""ลำพูน!J423"")"),2)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IFERROR(__xludf.DUMMYFUNCTION("IMPORTRANGE(""https://docs.google.com/spreadsheets/d/11923uPwbBZFjjGgGUA6NLw09EwE0CqkOc4q9oUmW1yo/edit?usp=sharing"",""ลำพูน!I424"")"),0)</f>
        <v>0</v>
      </c>
      <c r="J529" s="197">
        <f ca="1">IFERROR(__xludf.DUMMYFUNCTION("IMPORTRANGE(""https://docs.google.com/spreadsheets/d/11923uPwbBZFjjGgGUA6NLw09EwE0CqkOc4q9oUmW1yo/edit?usp=sharing"",""ลำพูน!J424"")"),0)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IFERROR(__xludf.DUMMYFUNCTION("IMPORTRANGE(""https://docs.google.com/spreadsheets/d/11923uPwbBZFjjGgGUA6NLw09EwE0CqkOc4q9oUmW1yo/edit?usp=sharing"",""ลำพูน!I425"")"),0)</f>
        <v>0</v>
      </c>
      <c r="J530" s="197">
        <f ca="1">IFERROR(__xludf.DUMMYFUNCTION("IMPORTRANGE(""https://docs.google.com/spreadsheets/d/11923uPwbBZFjjGgGUA6NLw09EwE0CqkOc4q9oUmW1yo/edit?usp=sharing"",""ลำพูน!J425"")"),16)</f>
        <v>16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IFERROR(__xludf.DUMMYFUNCTION("IMPORTRANGE(""https://docs.google.com/spreadsheets/d/11923uPwbBZFjjGgGUA6NLw09EwE0CqkOc4q9oUmW1yo/edit?usp=sharing"",""ลำพูน!I426"")"),0)</f>
        <v>0</v>
      </c>
      <c r="J531" s="197">
        <f ca="1">IFERROR(__xludf.DUMMYFUNCTION("IMPORTRANGE(""https://docs.google.com/spreadsheets/d/11923uPwbBZFjjGgGUA6NLw09EwE0CqkOc4q9oUmW1yo/edit?usp=sharing"",""ลำพูน!J426"")"),138)</f>
        <v>138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IFERROR(__xludf.DUMMYFUNCTION("IMPORTRANGE(""https://docs.google.com/spreadsheets/d/11923uPwbBZFjjGgGUA6NLw09EwE0CqkOc4q9oUmW1yo/edit?usp=sharing"",""ลำพูน!I427"")"),0)</f>
        <v>0</v>
      </c>
      <c r="J532" s="466">
        <f ca="1">IFERROR(__xludf.DUMMYFUNCTION("IMPORTRANGE(""https://docs.google.com/spreadsheets/d/11923uPwbBZFjjGgGUA6NLw09EwE0CqkOc4q9oUmW1yo/edit?usp=sharing"",""ลำพูน!J427"")"),0)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IFERROR(__xludf.DUMMYFUNCTION("IMPORTRANGE(""https://docs.google.com/spreadsheets/d/11923uPwbBZFjjGgGUA6NLw09EwE0CqkOc4q9oUmW1yo/edit?usp=sharing"",""ลำพูน!I428"")"),22)</f>
        <v>22</v>
      </c>
      <c r="J533" s="409">
        <f ca="1">IFERROR(__xludf.DUMMYFUNCTION("IMPORTRANGE(""https://docs.google.com/spreadsheets/d/11923uPwbBZFjjGgGUA6NLw09EwE0CqkOc4q9oUmW1yo/edit?usp=sharing"",""ลำพูน!J428"")"),22)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IFERROR(__xludf.DUMMYFUNCTION("IMPORTRANGE(""https://docs.google.com/spreadsheets/d/11923uPwbBZFjjGgGUA6NLw09EwE0CqkOc4q9oUmW1yo/edit?usp=sharing"",""ลำพูน!L428"")"),34340)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IFERROR(__xludf.DUMMYFUNCTION("IMPORTRANGE(""https://docs.google.com/spreadsheets/d/11923uPwbBZFjjGgGUA6NLw09EwE0CqkOc4q9oUmW1yo/edit?usp=sharing"",""ลำพูน!M428"")"),17969)</f>
        <v>17969</v>
      </c>
      <c r="O533" s="411">
        <f t="shared" ref="O533:O537" ca="1" si="118">+IF(L533&gt;0,N533*100/L533,0)</f>
        <v>52.32673267326733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IFERROR(__xludf.DUMMYFUNCTION("IMPORTRANGE(""https://docs.google.com/spreadsheets/d/11923uPwbBZFjjGgGUA6NLw09EwE0CqkOc4q9oUmW1yo/edit?usp=sharing"",""ลำพูน!L429"")"),0)</f>
        <v>0</v>
      </c>
      <c r="M534" s="164"/>
      <c r="N534" s="168">
        <f ca="1">IFERROR(__xludf.DUMMYFUNCTION("IMPORTRANGE(""https://docs.google.com/spreadsheets/d/11923uPwbBZFjjGgGUA6NLw09EwE0CqkOc4q9oUmW1yo/edit?usp=sharing"",""ลำพูน!M429"")"),0)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IFERROR(__xludf.DUMMYFUNCTION("IMPORTRANGE(""https://docs.google.com/spreadsheets/d/11923uPwbBZFjjGgGUA6NLw09EwE0CqkOc4q9oUmW1yo/edit?usp=sharing"",""ลำพูน!L430"")"),34340)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IFERROR(__xludf.DUMMYFUNCTION("IMPORTRANGE(""https://docs.google.com/spreadsheets/d/11923uPwbBZFjjGgGUA6NLw09EwE0CqkOc4q9oUmW1yo/edit?usp=sharing"",""ลำพูน!M430"")"),17969)</f>
        <v>17969</v>
      </c>
      <c r="O535" s="168">
        <f t="shared" ca="1" si="118"/>
        <v>52.32673267326733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IFERROR(__xludf.DUMMYFUNCTION("IMPORTRANGE(""https://docs.google.com/spreadsheets/d/11923uPwbBZFjjGgGUA6NLw09EwE0CqkOc4q9oUmW1yo/edit?usp=sharing"",""ลำพูน!L431"")"),0)</f>
        <v>0</v>
      </c>
      <c r="M536" s="168"/>
      <c r="N536" s="168">
        <f ca="1">IFERROR(__xludf.DUMMYFUNCTION("IMPORTRANGE(""https://docs.google.com/spreadsheets/d/11923uPwbBZFjjGgGUA6NLw09EwE0CqkOc4q9oUmW1yo/edit?usp=sharing"",""ลำพูน!M431"")"),0)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IFERROR(__xludf.DUMMYFUNCTION("IMPORTRANGE(""https://docs.google.com/spreadsheets/d/11923uPwbBZFjjGgGUA6NLw09EwE0CqkOc4q9oUmW1yo/edit?usp=sharing"",""ลำพูน!L432"")"),34340)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IFERROR(__xludf.DUMMYFUNCTION("IMPORTRANGE(""https://docs.google.com/spreadsheets/d/11923uPwbBZFjjGgGUA6NLw09EwE0CqkOc4q9oUmW1yo/edit?usp=sharing"",""ลำพูน!M432"")"),17969)</f>
        <v>17969</v>
      </c>
      <c r="O537" s="168">
        <f t="shared" ca="1" si="118"/>
        <v>52.32673267326733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IFERROR(__xludf.DUMMYFUNCTION("IMPORTRANGE(""https://docs.google.com/spreadsheets/d/11923uPwbBZFjjGgGUA6NLw09EwE0CqkOc4q9oUmW1yo/edit?usp=sharing"",""ลำพูน!M433"")"),17969)</f>
        <v>17969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IFERROR(__xludf.DUMMYFUNCTION("IMPORTRANGE(""https://docs.google.com/spreadsheets/d/11923uPwbBZFjjGgGUA6NLw09EwE0CqkOc4q9oUmW1yo/edit?usp=sharing"",""ลำพูน!M434"")"),0)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IFERROR(__xludf.DUMMYFUNCTION("IMPORTRANGE(""https://docs.google.com/spreadsheets/d/11923uPwbBZFjjGgGUA6NLw09EwE0CqkOc4q9oUmW1yo/edit?usp=sharing"",""ลำพูน!M435"")"),0)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IFERROR(__xludf.DUMMYFUNCTION("IMPORTRANGE(""https://docs.google.com/spreadsheets/d/11923uPwbBZFjjGgGUA6NLw09EwE0CqkOc4q9oUmW1yo/edit?usp=sharing"",""ลำพูน!M436"")"),0)</f>
        <v>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IFERROR(__xludf.DUMMYFUNCTION("IMPORTRANGE(""https://docs.google.com/spreadsheets/d/11923uPwbBZFjjGgGUA6NLw09EwE0CqkOc4q9oUmW1yo/edit?usp=sharing"",""ลำพูน!J438"")"),0)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IFERROR(__xludf.DUMMYFUNCTION("IMPORTRANGE(""https://docs.google.com/spreadsheets/d/11923uPwbBZFjjGgGUA6NLw09EwE0CqkOc4q9oUmW1yo/edit?usp=sharing"",""ลำพูน!J439"")"),1)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IFERROR(__xludf.DUMMYFUNCTION("IMPORTRANGE(""https://docs.google.com/spreadsheets/d/11923uPwbBZFjjGgGUA6NLw09EwE0CqkOc4q9oUmW1yo/edit?usp=sharing"",""ลำพูน!J440"")"),1)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IFERROR(__xludf.DUMMYFUNCTION("IMPORTRANGE(""https://docs.google.com/spreadsheets/d/11923uPwbBZFjjGgGUA6NLw09EwE0CqkOc4q9oUmW1yo/edit?usp=sharing"",""ลำพูน!J441"")"),1)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IFERROR(__xludf.DUMMYFUNCTION("IMPORTRANGE(""https://docs.google.com/spreadsheets/d/11923uPwbBZFjjGgGUA6NLw09EwE0CqkOc4q9oUmW1yo/edit?usp=sharing"",""ลำพูน!I442"")"),22)</f>
        <v>22</v>
      </c>
      <c r="J547" s="188">
        <f ca="1">IFERROR(__xludf.DUMMYFUNCTION("IMPORTRANGE(""https://docs.google.com/spreadsheets/d/11923uPwbBZFjjGgGUA6NLw09EwE0CqkOc4q9oUmW1yo/edit?usp=sharing"",""ลำพูน!J442"")"),22)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IFERROR(__xludf.DUMMYFUNCTION("IMPORTRANGE(""https://docs.google.com/spreadsheets/d/11923uPwbBZFjjGgGUA6NLw09EwE0CqkOc4q9oUmW1yo/edit?usp=sharing"",""ลำพูน!J166"")"),0)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IFERROR(__xludf.DUMMYFUNCTION("IMPORTRANGE(""https://docs.google.com/spreadsheets/d/11923uPwbBZFjjGgGUA6NLw09EwE0CqkOc4q9oUmW1yo/edit?usp=sharing"",""ลำพูน!J444"")"),1)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IFERROR(__xludf.DUMMYFUNCTION("IMPORTRANGE(""https://docs.google.com/spreadsheets/d/11923uPwbBZFjjGgGUA6NLw09EwE0CqkOc4q9oUmW1yo/edit?usp=sharing"",""ลำพูน!J445"")"),0)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IFERROR(__xludf.DUMMYFUNCTION("IMPORTRANGE(""https://docs.google.com/spreadsheets/d/11923uPwbBZFjjGgGUA6NLw09EwE0CqkOc4q9oUmW1yo/edit?usp=sharing"",""ลำพูน!I446"")"),0)</f>
        <v>0</v>
      </c>
      <c r="J551" s="409">
        <f ca="1">IFERROR(__xludf.DUMMYFUNCTION("IMPORTRANGE(""https://docs.google.com/spreadsheets/d/11923uPwbBZFjjGgGUA6NLw09EwE0CqkOc4q9oUmW1yo/edit?usp=sharing"",""ลำพูน!J446"")"),0)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IFERROR(__xludf.DUMMYFUNCTION("IMPORTRANGE(""https://docs.google.com/spreadsheets/d/11923uPwbBZFjjGgGUA6NLw09EwE0CqkOc4q9oUmW1yo/edit?usp=sharing"",""ลำพูน!L446"")"),0)</f>
        <v>0</v>
      </c>
      <c r="M551" s="411"/>
      <c r="N551" s="411">
        <f ca="1">IFERROR(__xludf.DUMMYFUNCTION("IMPORTRANGE(""https://docs.google.com/spreadsheets/d/11923uPwbBZFjjGgGUA6NLw09EwE0CqkOc4q9oUmW1yo/edit?usp=sharing"",""ลำพูน!M446"")"),0)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IFERROR(__xludf.DUMMYFUNCTION("IMPORTRANGE(""https://docs.google.com/spreadsheets/d/11923uPwbBZFjjGgGUA6NLw09EwE0CqkOc4q9oUmW1yo/edit?usp=sharing"",""ลำพูน!L447"")"),0)</f>
        <v>0</v>
      </c>
      <c r="M552" s="164"/>
      <c r="N552" s="168">
        <f ca="1">IFERROR(__xludf.DUMMYFUNCTION("IMPORTRANGE(""https://docs.google.com/spreadsheets/d/11923uPwbBZFjjGgGUA6NLw09EwE0CqkOc4q9oUmW1yo/edit?usp=sharing"",""ลำพูน!M447"")"),0)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IFERROR(__xludf.DUMMYFUNCTION("IMPORTRANGE(""https://docs.google.com/spreadsheets/d/11923uPwbBZFjjGgGUA6NLw09EwE0CqkOc4q9oUmW1yo/edit?usp=sharing"",""ลำพูน!L448"")"),0)</f>
        <v>0</v>
      </c>
      <c r="M553" s="165"/>
      <c r="N553" s="168">
        <f ca="1">IFERROR(__xludf.DUMMYFUNCTION("IMPORTRANGE(""https://docs.google.com/spreadsheets/d/11923uPwbBZFjjGgGUA6NLw09EwE0CqkOc4q9oUmW1yo/edit?usp=sharing"",""ลำพูน!M448"")"),0)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IFERROR(__xludf.DUMMYFUNCTION("IMPORTRANGE(""https://docs.google.com/spreadsheets/d/11923uPwbBZFjjGgGUA6NLw09EwE0CqkOc4q9oUmW1yo/edit?usp=sharing"",""ลำพูน!L449"")"),0)</f>
        <v>0</v>
      </c>
      <c r="M554" s="168"/>
      <c r="N554" s="168">
        <f ca="1">IFERROR(__xludf.DUMMYFUNCTION("IMPORTRANGE(""https://docs.google.com/spreadsheets/d/11923uPwbBZFjjGgGUA6NLw09EwE0CqkOc4q9oUmW1yo/edit?usp=sharing"",""ลำพูน!M449"")"),0)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IFERROR(__xludf.DUMMYFUNCTION("IMPORTRANGE(""https://docs.google.com/spreadsheets/d/11923uPwbBZFjjGgGUA6NLw09EwE0CqkOc4q9oUmW1yo/edit?usp=sharing"",""ลำพูน!L450"")"),0)</f>
        <v>0</v>
      </c>
      <c r="M555" s="168"/>
      <c r="N555" s="168">
        <f ca="1">IFERROR(__xludf.DUMMYFUNCTION("IMPORTRANGE(""https://docs.google.com/spreadsheets/d/11923uPwbBZFjjGgGUA6NLw09EwE0CqkOc4q9oUmW1yo/edit?usp=sharing"",""ลำพูน!M450"")"),0)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IFERROR(__xludf.DUMMYFUNCTION("IMPORTRANGE(""https://docs.google.com/spreadsheets/d/11923uPwbBZFjjGgGUA6NLw09EwE0CqkOc4q9oUmW1yo/edit?usp=sharing"",""ลำพูน!M451"")"),0)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IFERROR(__xludf.DUMMYFUNCTION("IMPORTRANGE(""https://docs.google.com/spreadsheets/d/11923uPwbBZFjjGgGUA6NLw09EwE0CqkOc4q9oUmW1yo/edit?usp=sharing"",""ลำพูน!M452"")"),0)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IFERROR(__xludf.DUMMYFUNCTION("IMPORTRANGE(""https://docs.google.com/spreadsheets/d/11923uPwbBZFjjGgGUA6NLw09EwE0CqkOc4q9oUmW1yo/edit?usp=sharing"",""ลำพูน!M453"")"),0)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IFERROR(__xludf.DUMMYFUNCTION("IMPORTRANGE(""https://docs.google.com/spreadsheets/d/11923uPwbBZFjjGgGUA6NLw09EwE0CqkOc4q9oUmW1yo/edit?usp=sharing"",""ลำพูน!M454"")"),0)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IFERROR(__xludf.DUMMYFUNCTION("IMPORTRANGE(""https://docs.google.com/spreadsheets/d/11923uPwbBZFjjGgGUA6NLw09EwE0CqkOc4q9oUmW1yo/edit?usp=sharing"",""ลำพูน!I455"")"),0)</f>
        <v>0</v>
      </c>
      <c r="J560" s="162">
        <f ca="1">IFERROR(__xludf.DUMMYFUNCTION("IMPORTRANGE(""https://docs.google.com/spreadsheets/d/11923uPwbBZFjjGgGUA6NLw09EwE0CqkOc4q9oUmW1yo/edit?usp=sharing"",""ลำพูน!J455"")"),0)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IFERROR(__xludf.DUMMYFUNCTION("IMPORTRANGE(""https://docs.google.com/spreadsheets/d/11923uPwbBZFjjGgGUA6NLw09EwE0CqkOc4q9oUmW1yo/edit?usp=sharing"",""ลำพูน!I456"")"),0)</f>
        <v>0</v>
      </c>
      <c r="J561" s="203">
        <f ca="1">IFERROR(__xludf.DUMMYFUNCTION("IMPORTRANGE(""https://docs.google.com/spreadsheets/d/11923uPwbBZFjjGgGUA6NLw09EwE0CqkOc4q9oUmW1yo/edit?usp=sharing"",""ลำพูน!J456"")"),0)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IFERROR(__xludf.DUMMYFUNCTION("IMPORTRANGE(""https://docs.google.com/spreadsheets/d/11923uPwbBZFjjGgGUA6NLw09EwE0CqkOc4q9oUmW1yo/edit?usp=sharing"",""ลำพูน!I459"")"),650)</f>
        <v>650</v>
      </c>
      <c r="J564" s="370">
        <f ca="1">IFERROR(__xludf.DUMMYFUNCTION("IMPORTRANGE(""https://docs.google.com/spreadsheets/d/11923uPwbBZFjjGgGUA6NLw09EwE0CqkOc4q9oUmW1yo/edit?usp=sharing"",""ลำพูน!J459"")"),1108)</f>
        <v>1108</v>
      </c>
      <c r="K564" s="371">
        <f ca="1">IF(I564&gt;0,J564*100/I564,0)</f>
        <v>170.46153846153845</v>
      </c>
      <c r="L564" s="372">
        <f ca="1">IFERROR(__xludf.DUMMYFUNCTION("IMPORTRANGE(""https://docs.google.com/spreadsheets/d/11923uPwbBZFjjGgGUA6NLw09EwE0CqkOc4q9oUmW1yo/edit?usp=sharing"",""ลำพูน!L459"")"),126880)</f>
        <v>126880</v>
      </c>
      <c r="M564" s="372"/>
      <c r="N564" s="372">
        <f ca="1">IFERROR(__xludf.DUMMYFUNCTION("IMPORTRANGE(""https://docs.google.com/spreadsheets/d/11923uPwbBZFjjGgGUA6NLw09EwE0CqkOc4q9oUmW1yo/edit?usp=sharing"",""ลำพูน!M459"")"),48305)</f>
        <v>48305</v>
      </c>
      <c r="O564" s="372">
        <f t="shared" ref="O564:O568" ca="1" si="122">+IF(L564&gt;0,N564*100/L564,0)</f>
        <v>38.071406052963432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IFERROR(__xludf.DUMMYFUNCTION("IMPORTRANGE(""https://docs.google.com/spreadsheets/d/11923uPwbBZFjjGgGUA6NLw09EwE0CqkOc4q9oUmW1yo/edit?usp=sharing"",""ลำพูน!L460"")"),0)</f>
        <v>0</v>
      </c>
      <c r="M565" s="164"/>
      <c r="N565" s="168">
        <f ca="1">IFERROR(__xludf.DUMMYFUNCTION("IMPORTRANGE(""https://docs.google.com/spreadsheets/d/11923uPwbBZFjjGgGUA6NLw09EwE0CqkOc4q9oUmW1yo/edit?usp=sharing"",""ลำพูน!M460"")"),0)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IFERROR(__xludf.DUMMYFUNCTION("IMPORTRANGE(""https://docs.google.com/spreadsheets/d/11923uPwbBZFjjGgGUA6NLw09EwE0CqkOc4q9oUmW1yo/edit?usp=sharing"",""ลำพูน!L461"")"),126880)</f>
        <v>126880</v>
      </c>
      <c r="M566" s="165"/>
      <c r="N566" s="168">
        <f ca="1">IFERROR(__xludf.DUMMYFUNCTION("IMPORTRANGE(""https://docs.google.com/spreadsheets/d/11923uPwbBZFjjGgGUA6NLw09EwE0CqkOc4q9oUmW1yo/edit?usp=sharing"",""ลำพูน!M461"")"),48305)</f>
        <v>48305</v>
      </c>
      <c r="O566" s="168">
        <f t="shared" ca="1" si="122"/>
        <v>38.071406052963432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IFERROR(__xludf.DUMMYFUNCTION("IMPORTRANGE(""https://docs.google.com/spreadsheets/d/11923uPwbBZFjjGgGUA6NLw09EwE0CqkOc4q9oUmW1yo/edit?usp=sharing"",""ลำพูน!L462"")"),0)</f>
        <v>0</v>
      </c>
      <c r="M567" s="168"/>
      <c r="N567" s="168">
        <f ca="1">IFERROR(__xludf.DUMMYFUNCTION("IMPORTRANGE(""https://docs.google.com/spreadsheets/d/11923uPwbBZFjjGgGUA6NLw09EwE0CqkOc4q9oUmW1yo/edit?usp=sharing"",""ลำพูน!M462"")"),0)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IFERROR(__xludf.DUMMYFUNCTION("IMPORTRANGE(""https://docs.google.com/spreadsheets/d/11923uPwbBZFjjGgGUA6NLw09EwE0CqkOc4q9oUmW1yo/edit?usp=sharing"",""ลำพูน!L463"")"),126880)</f>
        <v>126880</v>
      </c>
      <c r="M568" s="168"/>
      <c r="N568" s="168">
        <f ca="1">IFERROR(__xludf.DUMMYFUNCTION("IMPORTRANGE(""https://docs.google.com/spreadsheets/d/11923uPwbBZFjjGgGUA6NLw09EwE0CqkOc4q9oUmW1yo/edit?usp=sharing"",""ลำพูน!M463"")"),48305)</f>
        <v>48305</v>
      </c>
      <c r="O568" s="168">
        <f t="shared" ca="1" si="122"/>
        <v>38.071406052963432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IFERROR(__xludf.DUMMYFUNCTION("IMPORTRANGE(""https://docs.google.com/spreadsheets/d/11923uPwbBZFjjGgGUA6NLw09EwE0CqkOc4q9oUmW1yo/edit?usp=sharing"",""ลำพูน!M464"")"),0)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IFERROR(__xludf.DUMMYFUNCTION("IMPORTRANGE(""https://docs.google.com/spreadsheets/d/11923uPwbBZFjjGgGUA6NLw09EwE0CqkOc4q9oUmW1yo/edit?usp=sharing"",""ลำพูน!M465"")"),0)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IFERROR(__xludf.DUMMYFUNCTION("IMPORTRANGE(""https://docs.google.com/spreadsheets/d/11923uPwbBZFjjGgGUA6NLw09EwE0CqkOc4q9oUmW1yo/edit?usp=sharing"",""ลำพูน!M466"")"),42935)</f>
        <v>42935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IFERROR(__xludf.DUMMYFUNCTION("IMPORTRANGE(""https://docs.google.com/spreadsheets/d/11923uPwbBZFjjGgGUA6NLw09EwE0CqkOc4q9oUmW1yo/edit?usp=sharing"",""ลำพูน!M467"")"),5370)</f>
        <v>5370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IFERROR(__xludf.DUMMYFUNCTION("IMPORTRANGE(""https://docs.google.com/spreadsheets/d/11923uPwbBZFjjGgGUA6NLw09EwE0CqkOc4q9oUmW1yo/edit?usp=sharing"",""ลำพูน!I468"")"),650)</f>
        <v>650</v>
      </c>
      <c r="J573" s="420">
        <f ca="1">IFERROR(__xludf.DUMMYFUNCTION("IMPORTRANGE(""https://docs.google.com/spreadsheets/d/11923uPwbBZFjjGgGUA6NLw09EwE0CqkOc4q9oUmW1yo/edit?usp=sharing"",""ลำพูน!J468"")"),1108)</f>
        <v>1108</v>
      </c>
      <c r="K573" s="201">
        <f ca="1">IF(I573&gt;0,J573*100/I573,0)</f>
        <v>170.46153846153845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IFERROR(__xludf.DUMMYFUNCTION("IMPORTRANGE(""https://docs.google.com/spreadsheets/d/11923uPwbBZFjjGgGUA6NLw09EwE0CqkOc4q9oUmW1yo/edit?usp=sharing"",""ลำพูน!I470"")"),0)</f>
        <v>0</v>
      </c>
      <c r="J575" s="197">
        <f ca="1">IFERROR(__xludf.DUMMYFUNCTION("IMPORTRANGE(""https://docs.google.com/spreadsheets/d/11923uPwbBZFjjGgGUA6NLw09EwE0CqkOc4q9oUmW1yo/edit?usp=sharing"",""ลำพูน!J470"")"),3)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IFERROR(__xludf.DUMMYFUNCTION("IMPORTRANGE(""https://docs.google.com/spreadsheets/d/11923uPwbBZFjjGgGUA6NLw09EwE0CqkOc4q9oUmW1yo/edit?usp=sharing"",""ลำพูน!I471"")"),0)</f>
        <v>0</v>
      </c>
      <c r="J576" s="197">
        <f ca="1">IFERROR(__xludf.DUMMYFUNCTION("IMPORTRANGE(""https://docs.google.com/spreadsheets/d/11923uPwbBZFjjGgGUA6NLw09EwE0CqkOc4q9oUmW1yo/edit?usp=sharing"",""ลำพูน!J471"")"),271)</f>
        <v>271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IFERROR(__xludf.DUMMYFUNCTION("IMPORTRANGE(""https://docs.google.com/spreadsheets/d/11923uPwbBZFjjGgGUA6NLw09EwE0CqkOc4q9oUmW1yo/edit?usp=sharing"",""ลำพูน!I472"")"),0)</f>
        <v>0</v>
      </c>
      <c r="J577" s="188">
        <f ca="1">IFERROR(__xludf.DUMMYFUNCTION("IMPORTRANGE(""https://docs.google.com/spreadsheets/d/11923uPwbBZFjjGgGUA6NLw09EwE0CqkOc4q9oUmW1yo/edit?usp=sharing"",""ลำพูน!J472"")"),837)</f>
        <v>837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IFERROR(__xludf.DUMMYFUNCTION("IMPORTRANGE(""https://docs.google.com/spreadsheets/d/11923uPwbBZFjjGgGUA6NLw09EwE0CqkOc4q9oUmW1yo/edit?usp=sharing"",""ลำพูน!I473"")"),0)</f>
        <v>0</v>
      </c>
      <c r="J578" s="197">
        <f ca="1">IFERROR(__xludf.DUMMYFUNCTION("IMPORTRANGE(""https://docs.google.com/spreadsheets/d/11923uPwbBZFjjGgGUA6NLw09EwE0CqkOc4q9oUmW1yo/edit?usp=sharing"",""ลำพูน!J473"")"),0)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IFERROR(__xludf.DUMMYFUNCTION("IMPORTRANGE(""https://docs.google.com/spreadsheets/d/11923uPwbBZFjjGgGUA6NLw09EwE0CqkOc4q9oUmW1yo/edit?usp=sharing"",""ลำพูน!I474"")"),0)</f>
        <v>0</v>
      </c>
      <c r="J579" s="197">
        <f ca="1">IFERROR(__xludf.DUMMYFUNCTION("IMPORTRANGE(""https://docs.google.com/spreadsheets/d/11923uPwbBZFjjGgGUA6NLw09EwE0CqkOc4q9oUmW1yo/edit?usp=sharing"",""ลำพูน!J474"")"),0)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IFERROR(__xludf.DUMMYFUNCTION("IMPORTRANGE(""https://docs.google.com/spreadsheets/d/11923uPwbBZFjjGgGUA6NLw09EwE0CqkOc4q9oUmW1yo/edit?usp=sharing"",""ลำพูน!I475"")"),0)</f>
        <v>0</v>
      </c>
      <c r="J580" s="370">
        <f ca="1">IFERROR(__xludf.DUMMYFUNCTION("IMPORTRANGE(""https://docs.google.com/spreadsheets/d/11923uPwbBZFjjGgGUA6NLw09EwE0CqkOc4q9oUmW1yo/edit?usp=sharing"",""ลำพูน!J475"")"),0)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IFERROR(__xludf.DUMMYFUNCTION("IMPORTRANGE(""https://docs.google.com/spreadsheets/d/11923uPwbBZFjjGgGUA6NLw09EwE0CqkOc4q9oUmW1yo/edit?usp=sharing"",""ลำพูน!L475"")"),0)</f>
        <v>0</v>
      </c>
      <c r="M580" s="372"/>
      <c r="N580" s="372">
        <f ca="1">IFERROR(__xludf.DUMMYFUNCTION("IMPORTRANGE(""https://docs.google.com/spreadsheets/d/11923uPwbBZFjjGgGUA6NLw09EwE0CqkOc4q9oUmW1yo/edit?usp=sharing"",""ลำพูน!M475"")"),0)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IFERROR(__xludf.DUMMYFUNCTION("IMPORTRANGE(""https://docs.google.com/spreadsheets/d/11923uPwbBZFjjGgGUA6NLw09EwE0CqkOc4q9oUmW1yo/edit?usp=sharing"",""ลำพูน!L476"")"),0)</f>
        <v>0</v>
      </c>
      <c r="M581" s="164"/>
      <c r="N581" s="168">
        <f ca="1">IFERROR(__xludf.DUMMYFUNCTION("IMPORTRANGE(""https://docs.google.com/spreadsheets/d/11923uPwbBZFjjGgGUA6NLw09EwE0CqkOc4q9oUmW1yo/edit?usp=sharing"",""ลำพูน!M476"")"),0)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IFERROR(__xludf.DUMMYFUNCTION("IMPORTRANGE(""https://docs.google.com/spreadsheets/d/11923uPwbBZFjjGgGUA6NLw09EwE0CqkOc4q9oUmW1yo/edit?usp=sharing"",""ลำพูน!L477"")"),0)</f>
        <v>0</v>
      </c>
      <c r="M582" s="165"/>
      <c r="N582" s="168">
        <f ca="1">IFERROR(__xludf.DUMMYFUNCTION("IMPORTRANGE(""https://docs.google.com/spreadsheets/d/11923uPwbBZFjjGgGUA6NLw09EwE0CqkOc4q9oUmW1yo/edit?usp=sharing"",""ลำพูน!M477"")"),0)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IFERROR(__xludf.DUMMYFUNCTION("IMPORTRANGE(""https://docs.google.com/spreadsheets/d/11923uPwbBZFjjGgGUA6NLw09EwE0CqkOc4q9oUmW1yo/edit?usp=sharing"",""ลำพูน!L478"")"),0)</f>
        <v>0</v>
      </c>
      <c r="M583" s="168"/>
      <c r="N583" s="168">
        <f ca="1">IFERROR(__xludf.DUMMYFUNCTION("IMPORTRANGE(""https://docs.google.com/spreadsheets/d/11923uPwbBZFjjGgGUA6NLw09EwE0CqkOc4q9oUmW1yo/edit?usp=sharing"",""ลำพูน!M478"")"),0)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IFERROR(__xludf.DUMMYFUNCTION("IMPORTRANGE(""https://docs.google.com/spreadsheets/d/11923uPwbBZFjjGgGUA6NLw09EwE0CqkOc4q9oUmW1yo/edit?usp=sharing"",""ลำพูน!L479"")"),0)</f>
        <v>0</v>
      </c>
      <c r="M584" s="168"/>
      <c r="N584" s="168">
        <f ca="1">IFERROR(__xludf.DUMMYFUNCTION("IMPORTRANGE(""https://docs.google.com/spreadsheets/d/11923uPwbBZFjjGgGUA6NLw09EwE0CqkOc4q9oUmW1yo/edit?usp=sharing"",""ลำพูน!M479"")"),0)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IFERROR(__xludf.DUMMYFUNCTION("IMPORTRANGE(""https://docs.google.com/spreadsheets/d/11923uPwbBZFjjGgGUA6NLw09EwE0CqkOc4q9oUmW1yo/edit?usp=sharing"",""ลำพูน!M480"")"),0)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IFERROR(__xludf.DUMMYFUNCTION("IMPORTRANGE(""https://docs.google.com/spreadsheets/d/11923uPwbBZFjjGgGUA6NLw09EwE0CqkOc4q9oUmW1yo/edit?usp=sharing"",""ลำพูน!M481"")"),0)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IFERROR(__xludf.DUMMYFUNCTION("IMPORTRANGE(""https://docs.google.com/spreadsheets/d/11923uPwbBZFjjGgGUA6NLw09EwE0CqkOc4q9oUmW1yo/edit?usp=sharing"",""ลำพูน!M482"")"),0)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IFERROR(__xludf.DUMMYFUNCTION("IMPORTRANGE(""https://docs.google.com/spreadsheets/d/11923uPwbBZFjjGgGUA6NLw09EwE0CqkOc4q9oUmW1yo/edit?usp=sharing"",""ลำพูน!M483"")"),0)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IFERROR(__xludf.DUMMYFUNCTION("IMPORTRANGE(""https://docs.google.com/spreadsheets/d/11923uPwbBZFjjGgGUA6NLw09EwE0CqkOc4q9oUmW1yo/edit?usp=sharing"",""ลำพูน!I484"")"),0)</f>
        <v>0</v>
      </c>
      <c r="J589" s="187">
        <f ca="1">IFERROR(__xludf.DUMMYFUNCTION("IMPORTRANGE(""https://docs.google.com/spreadsheets/d/11923uPwbBZFjjGgGUA6NLw09EwE0CqkOc4q9oUmW1yo/edit?usp=sharing"",""ลำพูน!J484"")"),0)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IFERROR(__xludf.DUMMYFUNCTION("IMPORTRANGE(""https://docs.google.com/spreadsheets/d/11923uPwbBZFjjGgGUA6NLw09EwE0CqkOc4q9oUmW1yo/edit?usp=sharing"",""ลำพูน!I485"")"),0)</f>
        <v>0</v>
      </c>
      <c r="J590" s="187">
        <f ca="1">IFERROR(__xludf.DUMMYFUNCTION("IMPORTRANGE(""https://docs.google.com/spreadsheets/d/11923uPwbBZFjjGgGUA6NLw09EwE0CqkOc4q9oUmW1yo/edit?usp=sharing"",""ลำพูน!J485"")"),0)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IFERROR(__xludf.DUMMYFUNCTION("IMPORTRANGE(""https://docs.google.com/spreadsheets/d/11923uPwbBZFjjGgGUA6NLw09EwE0CqkOc4q9oUmW1yo/edit?usp=sharing"",""ลำพูน!I486"")"),0)</f>
        <v>0</v>
      </c>
      <c r="J591" s="187">
        <f ca="1">IFERROR(__xludf.DUMMYFUNCTION("IMPORTRANGE(""https://docs.google.com/spreadsheets/d/11923uPwbBZFjjGgGUA6NLw09EwE0CqkOc4q9oUmW1yo/edit?usp=sharing"",""ลำพูน!J486"")"),0)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IFERROR(__xludf.DUMMYFUNCTION("IMPORTRANGE(""https://docs.google.com/spreadsheets/d/11923uPwbBZFjjGgGUA6NLw09EwE0CqkOc4q9oUmW1yo/edit?usp=sharing"",""ลำพูน!I487"")"),0)</f>
        <v>0</v>
      </c>
      <c r="J592" s="187">
        <f ca="1">IFERROR(__xludf.DUMMYFUNCTION("IMPORTRANGE(""https://docs.google.com/spreadsheets/d/11923uPwbBZFjjGgGUA6NLw09EwE0CqkOc4q9oUmW1yo/edit?usp=sharing"",""ลำพูน!J487"")"),0)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IFERROR(__xludf.DUMMYFUNCTION("IMPORTRANGE(""https://docs.google.com/spreadsheets/d/11923uPwbBZFjjGgGUA6NLw09EwE0CqkOc4q9oUmW1yo/edit?usp=sharing"",""ลำพูน!I488"")"),0)</f>
        <v>0</v>
      </c>
      <c r="J593" s="187">
        <f ca="1">IFERROR(__xludf.DUMMYFUNCTION("IMPORTRANGE(""https://docs.google.com/spreadsheets/d/11923uPwbBZFjjGgGUA6NLw09EwE0CqkOc4q9oUmW1yo/edit?usp=sharing"",""ลำพูน!J488"")"),0)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IFERROR(__xludf.DUMMYFUNCTION("IMPORTRANGE(""https://docs.google.com/spreadsheets/d/11923uPwbBZFjjGgGUA6NLw09EwE0CqkOc4q9oUmW1yo/edit?usp=sharing"",""ลำพูน!I489"")"),0)</f>
        <v>0</v>
      </c>
      <c r="J594" s="187">
        <f ca="1">IFERROR(__xludf.DUMMYFUNCTION("IMPORTRANGE(""https://docs.google.com/spreadsheets/d/11923uPwbBZFjjGgGUA6NLw09EwE0CqkOc4q9oUmW1yo/edit?usp=sharing"",""ลำพูน!J489"")"),0)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IFERROR(__xludf.DUMMYFUNCTION("IMPORTRANGE(""https://docs.google.com/spreadsheets/d/11923uPwbBZFjjGgGUA6NLw09EwE0CqkOc4q9oUmW1yo/edit?usp=sharing"",""ลำพูน!I490"")"),0)</f>
        <v>0</v>
      </c>
      <c r="J595" s="187">
        <f ca="1">IFERROR(__xludf.DUMMYFUNCTION("IMPORTRANGE(""https://docs.google.com/spreadsheets/d/11923uPwbBZFjjGgGUA6NLw09EwE0CqkOc4q9oUmW1yo/edit?usp=sharing"",""ลำพูน!J490"")"),0)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IFERROR(__xludf.DUMMYFUNCTION("IMPORTRANGE(""https://docs.google.com/spreadsheets/d/11923uPwbBZFjjGgGUA6NLw09EwE0CqkOc4q9oUmW1yo/edit?usp=sharing"",""ลำพูน!I491"")"),0)</f>
        <v>0</v>
      </c>
      <c r="J596" s="241">
        <f ca="1">IFERROR(__xludf.DUMMYFUNCTION("IMPORTRANGE(""https://docs.google.com/spreadsheets/d/11923uPwbBZFjjGgGUA6NLw09EwE0CqkOc4q9oUmW1yo/edit?usp=sharing"",""ลำพูน!J491"")"),0)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IFERROR(__xludf.DUMMYFUNCTION("IMPORTRANGE(""https://docs.google.com/spreadsheets/d/11923uPwbBZFjjGgGUA6NLw09EwE0CqkOc4q9oUmW1yo/edit?usp=sharing"",""ลำพูน!I492"")"),50)</f>
        <v>50</v>
      </c>
      <c r="J597" s="487">
        <f ca="1">IFERROR(__xludf.DUMMYFUNCTION("IMPORTRANGE(""https://docs.google.com/spreadsheets/d/11923uPwbBZFjjGgGUA6NLw09EwE0CqkOc4q9oUmW1yo/edit?usp=sharing"",""ลำพูน!J492"")"),0)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IFERROR(__xludf.DUMMYFUNCTION("IMPORTRANGE(""https://docs.google.com/spreadsheets/d/11923uPwbBZFjjGgGUA6NLw09EwE0CqkOc4q9oUmW1yo/edit?usp=sharing"",""ลำพูน!L492"")"),4550)</f>
        <v>4550</v>
      </c>
      <c r="M597" s="411"/>
      <c r="N597" s="411">
        <f ca="1">IFERROR(__xludf.DUMMYFUNCTION("IMPORTRANGE(""https://docs.google.com/spreadsheets/d/11923uPwbBZFjjGgGUA6NLw09EwE0CqkOc4q9oUmW1yo/edit?usp=sharing"",""ลำพูน!M492"")"),850)</f>
        <v>850</v>
      </c>
      <c r="O597" s="411">
        <f t="shared" ref="O597:O601" ca="1" si="126">+IF(L597&gt;0,N597*100/L597,0)</f>
        <v>18.681318681318682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IFERROR(__xludf.DUMMYFUNCTION("IMPORTRANGE(""https://docs.google.com/spreadsheets/d/11923uPwbBZFjjGgGUA6NLw09EwE0CqkOc4q9oUmW1yo/edit?usp=sharing"",""ลำพูน!L493"")"),0)</f>
        <v>0</v>
      </c>
      <c r="M598" s="164"/>
      <c r="N598" s="168">
        <f ca="1">IFERROR(__xludf.DUMMYFUNCTION("IMPORTRANGE(""https://docs.google.com/spreadsheets/d/11923uPwbBZFjjGgGUA6NLw09EwE0CqkOc4q9oUmW1yo/edit?usp=sharing"",""ลำพูน!M493"")"),0)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IFERROR(__xludf.DUMMYFUNCTION("IMPORTRANGE(""https://docs.google.com/spreadsheets/d/11923uPwbBZFjjGgGUA6NLw09EwE0CqkOc4q9oUmW1yo/edit?usp=sharing"",""ลำพูน!L494"")"),4550)</f>
        <v>4550</v>
      </c>
      <c r="M599" s="165"/>
      <c r="N599" s="168">
        <f ca="1">IFERROR(__xludf.DUMMYFUNCTION("IMPORTRANGE(""https://docs.google.com/spreadsheets/d/11923uPwbBZFjjGgGUA6NLw09EwE0CqkOc4q9oUmW1yo/edit?usp=sharing"",""ลำพูน!M494"")"),850)</f>
        <v>850</v>
      </c>
      <c r="O599" s="168">
        <f t="shared" ca="1" si="126"/>
        <v>18.681318681318682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IFERROR(__xludf.DUMMYFUNCTION("IMPORTRANGE(""https://docs.google.com/spreadsheets/d/11923uPwbBZFjjGgGUA6NLw09EwE0CqkOc4q9oUmW1yo/edit?usp=sharing"",""ลำพูน!L495"")"),0)</f>
        <v>0</v>
      </c>
      <c r="M600" s="168"/>
      <c r="N600" s="168">
        <f ca="1">IFERROR(__xludf.DUMMYFUNCTION("IMPORTRANGE(""https://docs.google.com/spreadsheets/d/11923uPwbBZFjjGgGUA6NLw09EwE0CqkOc4q9oUmW1yo/edit?usp=sharing"",""ลำพูน!M495"")"),0)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IFERROR(__xludf.DUMMYFUNCTION("IMPORTRANGE(""https://docs.google.com/spreadsheets/d/11923uPwbBZFjjGgGUA6NLw09EwE0CqkOc4q9oUmW1yo/edit?usp=sharing"",""ลำพูน!L496"")"),4550)</f>
        <v>4550</v>
      </c>
      <c r="M601" s="168"/>
      <c r="N601" s="168">
        <f ca="1">IFERROR(__xludf.DUMMYFUNCTION("IMPORTRANGE(""https://docs.google.com/spreadsheets/d/11923uPwbBZFjjGgGUA6NLw09EwE0CqkOc4q9oUmW1yo/edit?usp=sharing"",""ลำพูน!M496"")"),850)</f>
        <v>850</v>
      </c>
      <c r="O601" s="168">
        <f t="shared" ca="1" si="126"/>
        <v>18.681318681318682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IFERROR(__xludf.DUMMYFUNCTION("IMPORTRANGE(""https://docs.google.com/spreadsheets/d/11923uPwbBZFjjGgGUA6NLw09EwE0CqkOc4q9oUmW1yo/edit?usp=sharing"",""ลำพูน!M497"")"),0)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IFERROR(__xludf.DUMMYFUNCTION("IMPORTRANGE(""https://docs.google.com/spreadsheets/d/11923uPwbBZFjjGgGUA6NLw09EwE0CqkOc4q9oUmW1yo/edit?usp=sharing"",""ลำพูน!M498"")"),0)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IFERROR(__xludf.DUMMYFUNCTION("IMPORTRANGE(""https://docs.google.com/spreadsheets/d/11923uPwbBZFjjGgGUA6NLw09EwE0CqkOc4q9oUmW1yo/edit?usp=sharing"",""ลำพูน!M499"")"),0)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IFERROR(__xludf.DUMMYFUNCTION("IMPORTRANGE(""https://docs.google.com/spreadsheets/d/11923uPwbBZFjjGgGUA6NLw09EwE0CqkOc4q9oUmW1yo/edit?usp=sharing"",""ลำพูน!M500"")"),850)</f>
        <v>850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IFERROR(__xludf.DUMMYFUNCTION("IMPORTRANGE(""https://docs.google.com/spreadsheets/d/11923uPwbBZFjjGgGUA6NLw09EwE0CqkOc4q9oUmW1yo/edit?usp=sharing"",""ลำพูน!J502"")"),0)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IFERROR(__xludf.DUMMYFUNCTION("IMPORTRANGE(""https://docs.google.com/spreadsheets/d/11923uPwbBZFjjGgGUA6NLw09EwE0CqkOc4q9oUmW1yo/edit?usp=sharing"",""ลำพูน!J503"")"),1)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IFERROR(__xludf.DUMMYFUNCTION("IMPORTRANGE(""https://docs.google.com/spreadsheets/d/11923uPwbBZFjjGgGUA6NLw09EwE0CqkOc4q9oUmW1yo/edit?usp=sharing"",""ลำพูน!J166"")"),0)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IFERROR(__xludf.DUMMYFUNCTION("IMPORTRANGE(""https://docs.google.com/spreadsheets/d/11923uPwbBZFjjGgGUA6NLw09EwE0CqkOc4q9oUmW1yo/edit?usp=sharing"",""ลำพูน!J166"")"),0)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IFERROR(__xludf.DUMMYFUNCTION("IMPORTRANGE(""https://docs.google.com/spreadsheets/d/11923uPwbBZFjjGgGUA6NLw09EwE0CqkOc4q9oUmW1yo/edit?usp=sharing"",""ลำพูน!I506"")"),50)</f>
        <v>50</v>
      </c>
      <c r="J611" s="162">
        <f ca="1">IFERROR(__xludf.DUMMYFUNCTION("IMPORTRANGE(""https://docs.google.com/spreadsheets/d/11923uPwbBZFjjGgGUA6NLw09EwE0CqkOc4q9oUmW1yo/edit?usp=sharing"",""ลำพูน!J506"")"),0)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IFERROR(__xludf.DUMMYFUNCTION("IMPORTRANGE(""https://docs.google.com/spreadsheets/d/11923uPwbBZFjjGgGUA6NLw09EwE0CqkOc4q9oUmW1yo/edit?usp=sharing"",""ลำพูน!I507"")"),0)</f>
        <v>0</v>
      </c>
      <c r="J612" s="197">
        <f ca="1">IFERROR(__xludf.DUMMYFUNCTION("IMPORTRANGE(""https://docs.google.com/spreadsheets/d/11923uPwbBZFjjGgGUA6NLw09EwE0CqkOc4q9oUmW1yo/edit?usp=sharing"",""ลำพูน!J507"")"),119)</f>
        <v>119</v>
      </c>
      <c r="K612" s="163">
        <f t="shared" ca="1" si="127"/>
        <v>238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IFERROR(__xludf.DUMMYFUNCTION("IMPORTRANGE(""https://docs.google.com/spreadsheets/d/11923uPwbBZFjjGgGUA6NLw09EwE0CqkOc4q9oUmW1yo/edit?usp=sharing"",""ลำพูน!I508"")"),0)</f>
        <v>0</v>
      </c>
      <c r="J613" s="197">
        <f ca="1">IFERROR(__xludf.DUMMYFUNCTION("IMPORTRANGE(""https://docs.google.com/spreadsheets/d/11923uPwbBZFjjGgGUA6NLw09EwE0CqkOc4q9oUmW1yo/edit?usp=sharing"",""ลำพูน!J508"")"),119)</f>
        <v>119</v>
      </c>
      <c r="K613" s="163">
        <f t="shared" ca="1" si="127"/>
        <v>238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IFERROR(__xludf.DUMMYFUNCTION("IMPORTRANGE(""https://docs.google.com/spreadsheets/d/11923uPwbBZFjjGgGUA6NLw09EwE0CqkOc4q9oUmW1yo/edit?usp=sharing"",""ลำพูน!I509"")"),0)</f>
        <v>0</v>
      </c>
      <c r="J614" s="197">
        <f ca="1">IFERROR(__xludf.DUMMYFUNCTION("IMPORTRANGE(""https://docs.google.com/spreadsheets/d/11923uPwbBZFjjGgGUA6NLw09EwE0CqkOc4q9oUmW1yo/edit?usp=sharing"",""ลำพูน!J509"")"),119)</f>
        <v>119</v>
      </c>
      <c r="K614" s="163">
        <f t="shared" ca="1" si="127"/>
        <v>238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IFERROR(__xludf.DUMMYFUNCTION("IMPORTRANGE(""https://docs.google.com/spreadsheets/d/11923uPwbBZFjjGgGUA6NLw09EwE0CqkOc4q9oUmW1yo/edit?usp=sharing"",""ลำพูน!I510"")"),0)</f>
        <v>0</v>
      </c>
      <c r="J615" s="197">
        <f ca="1">IFERROR(__xludf.DUMMYFUNCTION("IMPORTRANGE(""https://docs.google.com/spreadsheets/d/11923uPwbBZFjjGgGUA6NLw09EwE0CqkOc4q9oUmW1yo/edit?usp=sharing"",""ลำพูน!J510"")"),119)</f>
        <v>119</v>
      </c>
      <c r="K615" s="163">
        <f t="shared" ca="1" si="127"/>
        <v>238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IFERROR(__xludf.DUMMYFUNCTION("IMPORTRANGE(""https://docs.google.com/spreadsheets/d/11923uPwbBZFjjGgGUA6NLw09EwE0CqkOc4q9oUmW1yo/edit?usp=sharing"",""ลำพูน!I511"")"),0)</f>
        <v>0</v>
      </c>
      <c r="J616" s="197">
        <f ca="1">IFERROR(__xludf.DUMMYFUNCTION("IMPORTRANGE(""https://docs.google.com/spreadsheets/d/11923uPwbBZFjjGgGUA6NLw09EwE0CqkOc4q9oUmW1yo/edit?usp=sharing"",""ลำพูน!J511"")"),0)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IFERROR(__xludf.DUMMYFUNCTION("IMPORTRANGE(""https://docs.google.com/spreadsheets/d/11923uPwbBZFjjGgGUA6NLw09EwE0CqkOc4q9oUmW1yo/edit?usp=sharing"",""ลำพูน!I512"")"),0)</f>
        <v>0</v>
      </c>
      <c r="J617" s="187">
        <f ca="1">IFERROR(__xludf.DUMMYFUNCTION("IMPORTRANGE(""https://docs.google.com/spreadsheets/d/11923uPwbBZFjjGgGUA6NLw09EwE0CqkOc4q9oUmW1yo/edit?usp=sharing"",""ลำพูน!J512"")"),0)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IFERROR(__xludf.DUMMYFUNCTION("IMPORTRANGE(""https://docs.google.com/spreadsheets/d/11923uPwbBZFjjGgGUA6NLw09EwE0CqkOc4q9oUmW1yo/edit?usp=sharing"",""ลำพูน!I513"")"),0)</f>
        <v>0</v>
      </c>
      <c r="J618" s="188">
        <f ca="1">IFERROR(__xludf.DUMMYFUNCTION("IMPORTRANGE(""https://docs.google.com/spreadsheets/d/11923uPwbBZFjjGgGUA6NLw09EwE0CqkOc4q9oUmW1yo/edit?usp=sharing"",""ลำพูน!J513"")"),0)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IFERROR(__xludf.DUMMYFUNCTION("IMPORTRANGE(""https://docs.google.com/spreadsheets/d/11923uPwbBZFjjGgGUA6NLw09EwE0CqkOc4q9oUmW1yo/edit?usp=sharing"",""ลำพูน!I514"")"),0)</f>
        <v>0</v>
      </c>
      <c r="J619" s="188">
        <f ca="1">IFERROR(__xludf.DUMMYFUNCTION("IMPORTRANGE(""https://docs.google.com/spreadsheets/d/11923uPwbBZFjjGgGUA6NLw09EwE0CqkOc4q9oUmW1yo/edit?usp=sharing"",""ลำพูน!J514"")"),0)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IFERROR(__xludf.DUMMYFUNCTION("IMPORTRANGE(""https://docs.google.com/spreadsheets/d/11923uPwbBZFjjGgGUA6NLw09EwE0CqkOc4q9oUmW1yo/edit?usp=sharing"",""ลำพูน!I515"")"),0)</f>
        <v>0</v>
      </c>
      <c r="J620" s="202">
        <f ca="1">IFERROR(__xludf.DUMMYFUNCTION("IMPORTRANGE(""https://docs.google.com/spreadsheets/d/11923uPwbBZFjjGgGUA6NLw09EwE0CqkOc4q9oUmW1yo/edit?usp=sharing"",""ลำพูน!J515"")"),0)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IFERROR(__xludf.DUMMYFUNCTION("IMPORTRANGE(""https://docs.google.com/spreadsheets/d/11923uPwbBZFjjGgGUA6NLw09EwE0CqkOc4q9oUmW1yo/edit?usp=sharing"",""ลำพูน!I516"")"),0)</f>
        <v>0</v>
      </c>
      <c r="J621" s="202">
        <f ca="1">IFERROR(__xludf.DUMMYFUNCTION("IMPORTRANGE(""https://docs.google.com/spreadsheets/d/11923uPwbBZFjjGgGUA6NLw09EwE0CqkOc4q9oUmW1yo/edit?usp=sharing"",""ลำพูน!J516"")"),0)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IFERROR(__xludf.DUMMYFUNCTION("IMPORTRANGE(""https://docs.google.com/spreadsheets/d/11923uPwbBZFjjGgGUA6NLw09EwE0CqkOc4q9oUmW1yo/edit?usp=sharing"",""ลำพูน!I517"")"),0)</f>
        <v>0</v>
      </c>
      <c r="J622" s="188">
        <f ca="1">IFERROR(__xludf.DUMMYFUNCTION("IMPORTRANGE(""https://docs.google.com/spreadsheets/d/11923uPwbBZFjjGgGUA6NLw09EwE0CqkOc4q9oUmW1yo/edit?usp=sharing"",""ลำพูน!J517"")"),0)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IFERROR(__xludf.DUMMYFUNCTION("IMPORTRANGE(""https://docs.google.com/spreadsheets/d/11923uPwbBZFjjGgGUA6NLw09EwE0CqkOc4q9oUmW1yo/edit?usp=sharing"",""ลำพูน!I518"")"),0)</f>
        <v>0</v>
      </c>
      <c r="J623" s="188">
        <f ca="1">IFERROR(__xludf.DUMMYFUNCTION("IMPORTRANGE(""https://docs.google.com/spreadsheets/d/11923uPwbBZFjjGgGUA6NLw09EwE0CqkOc4q9oUmW1yo/edit?usp=sharing"",""ลำพูน!J518"")"),0)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IFERROR(__xludf.DUMMYFUNCTION("IMPORTRANGE(""https://docs.google.com/spreadsheets/d/11923uPwbBZFjjGgGUA6NLw09EwE0CqkOc4q9oUmW1yo/edit?usp=sharing"",""ลำพูน!I519"")"),0)</f>
        <v>0</v>
      </c>
      <c r="J624" s="187">
        <f ca="1">IFERROR(__xludf.DUMMYFUNCTION("IMPORTRANGE(""https://docs.google.com/spreadsheets/d/11923uPwbBZFjjGgGUA6NLw09EwE0CqkOc4q9oUmW1yo/edit?usp=sharing"",""ลำพูน!J519"")"),0)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IFERROR(__xludf.DUMMYFUNCTION("IMPORTRANGE(""https://docs.google.com/spreadsheets/d/11923uPwbBZFjjGgGUA6NLw09EwE0CqkOc4q9oUmW1yo/edit?usp=sharing"",""ลำพูน!I520"")"),0)</f>
        <v>0</v>
      </c>
      <c r="J625" s="188">
        <f ca="1">IFERROR(__xludf.DUMMYFUNCTION("IMPORTRANGE(""https://docs.google.com/spreadsheets/d/11923uPwbBZFjjGgGUA6NLw09EwE0CqkOc4q9oUmW1yo/edit?usp=sharing"",""ลำพูน!J520"")"),0)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IFERROR(__xludf.DUMMYFUNCTION("IMPORTRANGE(""https://docs.google.com/spreadsheets/d/11923uPwbBZFjjGgGUA6NLw09EwE0CqkOc4q9oUmW1yo/edit?usp=sharing"",""ลำพูน!I521"")"),0)</f>
        <v>0</v>
      </c>
      <c r="J626" s="188">
        <f ca="1">IFERROR(__xludf.DUMMYFUNCTION("IMPORTRANGE(""https://docs.google.com/spreadsheets/d/11923uPwbBZFjjGgGUA6NLw09EwE0CqkOc4q9oUmW1yo/edit?usp=sharing"",""ลำพูน!J521"")"),0)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IFERROR(__xludf.DUMMYFUNCTION("IMPORTRANGE(""https://docs.google.com/spreadsheets/d/11923uPwbBZFjjGgGUA6NLw09EwE0CqkOc4q9oUmW1yo/edit?usp=sharing"",""ลำพูน!I523"")"),6577500)</f>
        <v>6577500</v>
      </c>
      <c r="J628" s="341">
        <f ca="1">IFERROR(__xludf.DUMMYFUNCTION("IMPORTRANGE(""https://docs.google.com/spreadsheets/d/11923uPwbBZFjjGgGUA6NLw09EwE0CqkOc4q9oUmW1yo/edit?usp=sharing"",""ลำพูน!J523"")"),4865394)</f>
        <v>4865394</v>
      </c>
      <c r="K628" s="342">
        <f t="shared" ref="K628:K635" ca="1" si="129">IF(I628&gt;0,J628*100/I628,0)</f>
        <v>73.970262257696689</v>
      </c>
      <c r="L628" s="342"/>
      <c r="M628" s="342"/>
      <c r="N628" s="342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IFERROR(__xludf.DUMMYFUNCTION("IMPORTRANGE(""https://docs.google.com/spreadsheets/d/11923uPwbBZFjjGgGUA6NLw09EwE0CqkOc4q9oUmW1yo/edit?usp=sharing"",""ลำพูน!I524"")"),219)</f>
        <v>219</v>
      </c>
      <c r="J629" s="341">
        <f ca="1">IFERROR(__xludf.DUMMYFUNCTION("IMPORTRANGE(""https://docs.google.com/spreadsheets/d/11923uPwbBZFjjGgGUA6NLw09EwE0CqkOc4q9oUmW1yo/edit?usp=sharing"",""ลำพูน!J524"")"),166)</f>
        <v>166</v>
      </c>
      <c r="K629" s="342">
        <f t="shared" ca="1" si="129"/>
        <v>75.799086757990864</v>
      </c>
      <c r="L629" s="342"/>
      <c r="M629" s="342"/>
      <c r="N629" s="342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IFERROR(__xludf.DUMMYFUNCTION("IMPORTRANGE(""https://docs.google.com/spreadsheets/d/11923uPwbBZFjjGgGUA6NLw09EwE0CqkOc4q9oUmW1yo/edit?usp=sharing"",""ลำพูน!I525"")"),5461063.69)</f>
        <v>5461063.6900000004</v>
      </c>
      <c r="J630" s="341">
        <f ca="1">IFERROR(__xludf.DUMMYFUNCTION("IMPORTRANGE(""https://docs.google.com/spreadsheets/d/11923uPwbBZFjjGgGUA6NLw09EwE0CqkOc4q9oUmW1yo/edit?usp=sharing"",""ลำพูน!J525"")"),134134.6)</f>
        <v>134134.6</v>
      </c>
      <c r="K630" s="342">
        <f t="shared" ca="1" si="129"/>
        <v>2.4561991511950301</v>
      </c>
      <c r="L630" s="342"/>
      <c r="M630" s="342"/>
      <c r="N630" s="342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IFERROR(__xludf.DUMMYFUNCTION("IMPORTRANGE(""https://docs.google.com/spreadsheets/d/11923uPwbBZFjjGgGUA6NLw09EwE0CqkOc4q9oUmW1yo/edit?usp=sharing"",""ลำพูน!I526"")"),213)</f>
        <v>213</v>
      </c>
      <c r="J631" s="341">
        <f ca="1">IFERROR(__xludf.DUMMYFUNCTION("IMPORTRANGE(""https://docs.google.com/spreadsheets/d/11923uPwbBZFjjGgGUA6NLw09EwE0CqkOc4q9oUmW1yo/edit?usp=sharing"",""ลำพูน!J526"")"),25)</f>
        <v>25</v>
      </c>
      <c r="K631" s="342">
        <f t="shared" ca="1" si="129"/>
        <v>11.737089201877934</v>
      </c>
      <c r="L631" s="342"/>
      <c r="M631" s="342"/>
      <c r="N631" s="342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IFERROR(__xludf.DUMMYFUNCTION("IMPORTRANGE(""https://docs.google.com/spreadsheets/d/11923uPwbBZFjjGgGUA6NLw09EwE0CqkOc4q9oUmW1yo/edit?usp=sharing"",""ลำพูน!I527"")"),3460652.83)</f>
        <v>3460652.83</v>
      </c>
      <c r="J632" s="341">
        <f ca="1">IFERROR(__xludf.DUMMYFUNCTION("IMPORTRANGE(""https://docs.google.com/spreadsheets/d/11923uPwbBZFjjGgGUA6NLw09EwE0CqkOc4q9oUmW1yo/edit?usp=sharing"",""ลำพูน!J527"")"),320686.95)</f>
        <v>320686.95</v>
      </c>
      <c r="K632" s="342">
        <f t="shared" ca="1" si="129"/>
        <v>9.266660533527137</v>
      </c>
      <c r="L632" s="342"/>
      <c r="M632" s="342"/>
      <c r="N632" s="342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IFERROR(__xludf.DUMMYFUNCTION("IMPORTRANGE(""https://docs.google.com/spreadsheets/d/11923uPwbBZFjjGgGUA6NLw09EwE0CqkOc4q9oUmW1yo/edit?usp=sharing"",""ลำพูน!I528"")"),468)</f>
        <v>468</v>
      </c>
      <c r="J633" s="341">
        <f ca="1">IFERROR(__xludf.DUMMYFUNCTION("IMPORTRANGE(""https://docs.google.com/spreadsheets/d/11923uPwbBZFjjGgGUA6NLw09EwE0CqkOc4q9oUmW1yo/edit?usp=sharing"",""ลำพูน!J528"")"),134)</f>
        <v>134</v>
      </c>
      <c r="K633" s="342">
        <f t="shared" ca="1" si="129"/>
        <v>28.632478632478634</v>
      </c>
      <c r="L633" s="342"/>
      <c r="M633" s="342"/>
      <c r="N633" s="342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IFERROR(__xludf.DUMMYFUNCTION("IMPORTRANGE(""https://docs.google.com/spreadsheets/d/11923uPwbBZFjjGgGUA6NLw09EwE0CqkOc4q9oUmW1yo/edit?usp=sharing"",""ลำพูน!I529"")"),7000000)</f>
        <v>7000000</v>
      </c>
      <c r="J634" s="341">
        <f ca="1">IFERROR(__xludf.DUMMYFUNCTION("IMPORTRANGE(""https://docs.google.com/spreadsheets/d/11923uPwbBZFjjGgGUA6NLw09EwE0CqkOc4q9oUmW1yo/edit?usp=sharing"",""ลำพูน!J529"")"),5440000)</f>
        <v>5440000</v>
      </c>
      <c r="K634" s="342">
        <f t="shared" ca="1" si="129"/>
        <v>77.714285714285708</v>
      </c>
      <c r="L634" s="342"/>
      <c r="M634" s="342"/>
      <c r="N634" s="342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IFERROR(__xludf.DUMMYFUNCTION("IMPORTRANGE(""https://docs.google.com/spreadsheets/d/11923uPwbBZFjjGgGUA6NLw09EwE0CqkOc4q9oUmW1yo/edit?usp=sharing"",""ลำพูน!I530"")"),230)</f>
        <v>230</v>
      </c>
      <c r="J635" s="504">
        <f ca="1">IFERROR(__xludf.DUMMYFUNCTION("IMPORTRANGE(""https://docs.google.com/spreadsheets/d/11923uPwbBZFjjGgGUA6NLw09EwE0CqkOc4q9oUmW1yo/edit?usp=sharing"",""ลำพูน!J530"")"),176)</f>
        <v>176</v>
      </c>
      <c r="K635" s="486">
        <f t="shared" ca="1" si="129"/>
        <v>76.521739130434781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33500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5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33500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33500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5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IFERROR(__xludf.DUMMYFUNCTION("IMPORTRANGE(""https://docs.google.com/spreadsheets/d/11923uPwbBZFjjGgGUA6NLw09EwE0CqkOc4q9oUmW1yo/edit?usp=sharing"",""ลำพูน!J541"")"),0)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5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IFERROR(__xludf.DUMMYFUNCTION("IMPORTRANGE(""https://docs.google.com/spreadsheets/d/11923uPwbBZFjjGgGUA6NLw09EwE0CqkOc4q9oUmW1yo/edit?usp=sharing"",""ลำพูน!J542"")"),0)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5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IFERROR(__xludf.DUMMYFUNCTION("IMPORTRANGE(""https://docs.google.com/spreadsheets/d/11923uPwbBZFjjGgGUA6NLw09EwE0CqkOc4q9oUmW1yo/edit?usp=sharing"",""ลำพูน!I543"")"),0)</f>
        <v>0</v>
      </c>
      <c r="J648" s="535">
        <f ca="1">IFERROR(__xludf.DUMMYFUNCTION("IMPORTRANGE(""https://docs.google.com/spreadsheets/d/11923uPwbBZFjjGgGUA6NLw09EwE0CqkOc4q9oUmW1yo/edit?usp=sharing"",""ลำพูน!J543"")"),0)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IFERROR(__xludf.DUMMYFUNCTION("IMPORTRANGE(""https://docs.google.com/spreadsheets/d/11923uPwbBZFjjGgGUA6NLw09EwE0CqkOc4q9oUmW1yo/edit?usp=sharing"",""ลำพูน!L543"")"),0)</f>
        <v>0</v>
      </c>
      <c r="M648" s="520"/>
      <c r="N648" s="537">
        <f ca="1">IFERROR(__xludf.DUMMYFUNCTION("IMPORTRANGE(""https://docs.google.com/spreadsheets/d/11923uPwbBZFjjGgGUA6NLw09EwE0CqkOc4q9oUmW1yo/edit?usp=sharing"",""ลำพูน!M543"")"),0)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5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IFERROR(__xludf.DUMMYFUNCTION("IMPORTRANGE(""https://docs.google.com/spreadsheets/d/11923uPwbBZFjjGgGUA6NLw09EwE0CqkOc4q9oUmW1yo/edit?usp=sharing"",""ลำพูน!I544"")"),24)</f>
        <v>24</v>
      </c>
      <c r="J649" s="535">
        <f ca="1">IFERROR(__xludf.DUMMYFUNCTION("IMPORTRANGE(""https://docs.google.com/spreadsheets/d/11923uPwbBZFjjGgGUA6NLw09EwE0CqkOc4q9oUmW1yo/edit?usp=sharing"",""ลำพูน!J544"")"),0)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IFERROR(__xludf.DUMMYFUNCTION("IMPORTRANGE(""https://docs.google.com/spreadsheets/d/11923uPwbBZFjjGgGUA6NLw09EwE0CqkOc4q9oUmW1yo/edit?usp=sharing"",""ลำพูน!L544"")"),2880)</f>
        <v>2880</v>
      </c>
      <c r="M649" s="520"/>
      <c r="N649" s="537">
        <f ca="1">IFERROR(__xludf.DUMMYFUNCTION("IMPORTRANGE(""https://docs.google.com/spreadsheets/d/11923uPwbBZFjjGgGUA6NLw09EwE0CqkOc4q9oUmW1yo/edit?usp=sharing"",""ลำพูน!M544"")"),0)</f>
        <v>0</v>
      </c>
      <c r="O649" s="536">
        <f t="shared" ca="1" si="132"/>
        <v>0</v>
      </c>
      <c r="P649" s="536"/>
    </row>
    <row r="650" spans="1:16" ht="21.75" customHeight="1" x14ac:dyDescent="0.45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IFERROR(__xludf.DUMMYFUNCTION("IMPORTRANGE(""https://docs.google.com/spreadsheets/d/11923uPwbBZFjjGgGUA6NLw09EwE0CqkOc4q9oUmW1yo/edit?usp=sharing"",""ลำพูน!I545"")"),200)</f>
        <v>200</v>
      </c>
      <c r="J650" s="535">
        <f ca="1">IFERROR(__xludf.DUMMYFUNCTION("IMPORTRANGE(""https://docs.google.com/spreadsheets/d/11923uPwbBZFjjGgGUA6NLw09EwE0CqkOc4q9oUmW1yo/edit?usp=sharing"",""ลำพูน!J545"")"),0)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IFERROR(__xludf.DUMMYFUNCTION("IMPORTRANGE(""https://docs.google.com/spreadsheets/d/11923uPwbBZFjjGgGUA6NLw09EwE0CqkOc4q9oUmW1yo/edit?usp=sharing"",""ลำพูน!L545"")"),1000)</f>
        <v>1000</v>
      </c>
      <c r="M650" s="520"/>
      <c r="N650" s="537">
        <f ca="1">IFERROR(__xludf.DUMMYFUNCTION("IMPORTRANGE(""https://docs.google.com/spreadsheets/d/11923uPwbBZFjjGgGUA6NLw09EwE0CqkOc4q9oUmW1yo/edit?usp=sharing"",""ลำพูน!M545"")"),0)</f>
        <v>0</v>
      </c>
      <c r="O650" s="536">
        <f t="shared" ca="1" si="132"/>
        <v>0</v>
      </c>
      <c r="P650" s="536"/>
    </row>
    <row r="651" spans="1:16" ht="21.75" customHeight="1" x14ac:dyDescent="0.45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IFERROR(__xludf.DUMMYFUNCTION("IMPORTRANGE(""https://docs.google.com/spreadsheets/d/11923uPwbBZFjjGgGUA6NLw09EwE0CqkOc4q9oUmW1yo/edit?usp=sharing"",""ลำพูน!I546"")"),100)</f>
        <v>100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IFERROR(__xludf.DUMMYFUNCTION("IMPORTRANGE(""https://docs.google.com/spreadsheets/d/11923uPwbBZFjjGgGUA6NLw09EwE0CqkOc4q9oUmW1yo/edit?usp=sharing"",""ลำพูน!L546"")"),2500)</f>
        <v>2500</v>
      </c>
      <c r="M651" s="520"/>
      <c r="N651" s="537">
        <f ca="1">IFERROR(__xludf.DUMMYFUNCTION("IMPORTRANGE(""https://docs.google.com/spreadsheets/d/11923uPwbBZFjjGgGUA6NLw09EwE0CqkOc4q9oUmW1yo/edit?usp=sharing"",""ลำพูน!M546"")"),0)</f>
        <v>0</v>
      </c>
      <c r="O651" s="536">
        <f t="shared" ca="1" si="132"/>
        <v>0</v>
      </c>
      <c r="P651" s="536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IFERROR(__xludf.DUMMYFUNCTION("IMPORTRANGE(""https://docs.google.com/spreadsheets/d/11923uPwbBZFjjGgGUA6NLw09EwE0CqkOc4q9oUmW1yo/edit?usp=sharing"",""ลำพูน!J547"")"),0)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IFERROR(__xludf.DUMMYFUNCTION("IMPORTRANGE(""https://docs.google.com/spreadsheets/d/11923uPwbBZFjjGgGUA6NLw09EwE0CqkOc4q9oUmW1yo/edit?usp=sharing"",""ลำพูน!J548"")"),0)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IFERROR(__xludf.DUMMYFUNCTION("IMPORTRANGE(""https://docs.google.com/spreadsheets/d/11923uPwbBZFjjGgGUA6NLw09EwE0CqkOc4q9oUmW1yo/edit?usp=sharing"",""ลำพูน!J550"")"),0)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IFERROR(__xludf.DUMMYFUNCTION("IMPORTRANGE(""https://docs.google.com/spreadsheets/d/11923uPwbBZFjjGgGUA6NLw09EwE0CqkOc4q9oUmW1yo/edit?usp=sharing"",""ลำพูน!J551"")"),0)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IFERROR(__xludf.DUMMYFUNCTION("IMPORTRANGE(""https://docs.google.com/spreadsheets/d/11923uPwbBZFjjGgGUA6NLw09EwE0CqkOc4q9oUmW1yo/edit?usp=sharing"",""ลำพูน!J552"")"),0)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IFERROR(__xludf.DUMMYFUNCTION("IMPORTRANGE(""https://docs.google.com/spreadsheets/d/11923uPwbBZFjjGgGUA6NLw09EwE0CqkOc4q9oUmW1yo/edit?usp=sharing"",""ลำพูน!J553"")"),0)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IFERROR(__xludf.DUMMYFUNCTION("IMPORTRANGE(""https://docs.google.com/spreadsheets/d/11923uPwbBZFjjGgGUA6NLw09EwE0CqkOc4q9oUmW1yo/edit?usp=sharing"",""ลำพูน!J554"")"),0)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IFERROR(__xludf.DUMMYFUNCTION("IMPORTRANGE(""https://docs.google.com/spreadsheets/d/11923uPwbBZFjjGgGUA6NLw09EwE0CqkOc4q9oUmW1yo/edit?usp=sharing"",""ลำพูน!J555"")"),0)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5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IFERROR(__xludf.DUMMYFUNCTION("IMPORTRANGE(""https://docs.google.com/spreadsheets/d/11923uPwbBZFjjGgGUA6NLw09EwE0CqkOc4q9oUmW1yo/edit?usp=sharing"",""ลำพูน!J556"")"),0)</f>
        <v>0</v>
      </c>
      <c r="K661" s="536"/>
      <c r="L661" s="521">
        <f ca="1">IFERROR(__xludf.DUMMYFUNCTION("IMPORTRANGE(""https://docs.google.com/spreadsheets/d/11923uPwbBZFjjGgGUA6NLw09EwE0CqkOc4q9oUmW1yo/edit?usp=sharing"",""ลำพูน!L556"")"),16000)</f>
        <v>16000</v>
      </c>
      <c r="M661" s="520"/>
      <c r="N661" s="537">
        <f ca="1">IFERROR(__xludf.DUMMYFUNCTION("IMPORTRANGE(""https://docs.google.com/spreadsheets/d/11923uPwbBZFjjGgGUA6NLw09EwE0CqkOc4q9oUmW1yo/edit?usp=sharing"",""ลำพูน!M556"")"),0)</f>
        <v>0</v>
      </c>
      <c r="O661" s="536">
        <f ca="1">IF(L661&gt;0,N661*100/L661,0)</f>
        <v>0</v>
      </c>
      <c r="P661" s="536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IFERROR(__xludf.DUMMYFUNCTION("IMPORTRANGE(""https://docs.google.com/spreadsheets/d/11923uPwbBZFjjGgGUA6NLw09EwE0CqkOc4q9oUmW1yo/edit?usp=sharing"",""ลำพูน!J557"")"),0)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IFERROR(__xludf.DUMMYFUNCTION("IMPORTRANGE(""https://docs.google.com/spreadsheets/d/11923uPwbBZFjjGgGUA6NLw09EwE0CqkOc4q9oUmW1yo/edit?usp=sharing"",""ลำพูน!I558"")"),400)</f>
        <v>400</v>
      </c>
      <c r="J663" s="535">
        <f ca="1">IFERROR(__xludf.DUMMYFUNCTION("IMPORTRANGE(""https://docs.google.com/spreadsheets/d/11923uPwbBZFjjGgGUA6NLw09EwE0CqkOc4q9oUmW1yo/edit?usp=sharing"",""ลำพูน!J558"")"),0)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5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IFERROR(__xludf.DUMMYFUNCTION("IMPORTRANGE(""https://docs.google.com/spreadsheets/d/11923uPwbBZFjjGgGUA6NLw09EwE0CqkOc4q9oUmW1yo/edit?usp=sharing"",""ลำพูน!I560"")"),20)</f>
        <v>20</v>
      </c>
      <c r="J665" s="535">
        <f ca="1">IFERROR(__xludf.DUMMYFUNCTION("IMPORTRANGE(""https://docs.google.com/spreadsheets/d/11923uPwbBZFjjGgGUA6NLw09EwE0CqkOc4q9oUmW1yo/edit?usp=sharing"",""ลำพูน!J560"")"),0)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IFERROR(__xludf.DUMMYFUNCTION("IMPORTRANGE(""https://docs.google.com/spreadsheets/d/11923uPwbBZFjjGgGUA6NLw09EwE0CqkOc4q9oUmW1yo/edit?usp=sharing"",""ลำพูน!L560"")"),2400)</f>
        <v>2400</v>
      </c>
      <c r="M665" s="520"/>
      <c r="N665" s="537">
        <f ca="1">IFERROR(__xludf.DUMMYFUNCTION("IMPORTRANGE(""https://docs.google.com/spreadsheets/d/11923uPwbBZFjjGgGUA6NLw09EwE0CqkOc4q9oUmW1yo/edit?usp=sharing"",""ลำพูน!M560"")"),0)</f>
        <v>0</v>
      </c>
      <c r="O665" s="536">
        <f ca="1">IF(L665&gt;0,N665*100/L665,0)</f>
        <v>0</v>
      </c>
      <c r="P665" s="536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IFERROR(__xludf.DUMMYFUNCTION("IMPORTRANGE(""https://docs.google.com/spreadsheets/d/11923uPwbBZFjjGgGUA6NLw09EwE0CqkOc4q9oUmW1yo/edit?usp=sharing"",""ลำพูน!J561"")"),0)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IFERROR(__xludf.DUMMYFUNCTION("IMPORTRANGE(""https://docs.google.com/spreadsheets/d/11923uPwbBZFjjGgGUA6NLw09EwE0CqkOc4q9oUmW1yo/edit?usp=sharing"",""ลำพูน!J562"")"),0)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IFERROR(__xludf.DUMMYFUNCTION("IMPORTRANGE(""https://docs.google.com/spreadsheets/d/11923uPwbBZFjjGgGUA6NLw09EwE0CqkOc4q9oUmW1yo/edit?usp=sharing"",""ลำพูน!I563"")"),6)</f>
        <v>6</v>
      </c>
      <c r="J668" s="535">
        <f ca="1">IFERROR(__xludf.DUMMYFUNCTION("IMPORTRANGE(""https://docs.google.com/spreadsheets/d/11923uPwbBZFjjGgGUA6NLw09EwE0CqkOc4q9oUmW1yo/edit?usp=sharing"",""ลำพูน!J563"")"),0)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IFERROR(__xludf.DUMMYFUNCTION("IMPORTRANGE(""https://docs.google.com/spreadsheets/d/11923uPwbBZFjjGgGUA6NLw09EwE0CqkOc4q9oUmW1yo/edit?usp=sharing"",""ลำพูน!L563"")"),5520)</f>
        <v>5520</v>
      </c>
      <c r="M668" s="520"/>
      <c r="N668" s="537">
        <f ca="1">IFERROR(__xludf.DUMMYFUNCTION("IMPORTRANGE(""https://docs.google.com/spreadsheets/d/11923uPwbBZFjjGgGUA6NLw09EwE0CqkOc4q9oUmW1yo/edit?usp=sharing"",""ลำพูน!M563"")"),0)</f>
        <v>0</v>
      </c>
      <c r="O668" s="536">
        <f ca="1">IF(L668&gt;0,N668*100/L668,0)</f>
        <v>0</v>
      </c>
      <c r="P668" s="536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IFERROR(__xludf.DUMMYFUNCTION("IMPORTRANGE(""https://docs.google.com/spreadsheets/d/11923uPwbBZFjjGgGUA6NLw09EwE0CqkOc4q9oUmW1yo/edit?usp=sharing"",""ลำพูน!J564"")"),0)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IFERROR(__xludf.DUMMYFUNCTION("IMPORTRANGE(""https://docs.google.com/spreadsheets/d/11923uPwbBZFjjGgGUA6NLw09EwE0CqkOc4q9oUmW1yo/edit?usp=sharing"",""ลำพูน!J565"")"),0)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5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IFERROR(__xludf.DUMMYFUNCTION("IMPORTRANGE(""https://docs.google.com/spreadsheets/d/11923uPwbBZFjjGgGUA6NLw09EwE0CqkOc4q9oUmW1yo/edit?usp=sharing"",""ลำพูน!I566"")"),40)</f>
        <v>40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IFERROR(__xludf.DUMMYFUNCTION("IMPORTRANGE(""https://docs.google.com/spreadsheets/d/11923uPwbBZFjjGgGUA6NLw09EwE0CqkOc4q9oUmW1yo/edit?usp=sharing"",""ลำพูน!L566"")"),3200)</f>
        <v>3200</v>
      </c>
      <c r="M671" s="520"/>
      <c r="N671" s="537">
        <f ca="1">IFERROR(__xludf.DUMMYFUNCTION("IMPORTRANGE(""https://docs.google.com/spreadsheets/d/11923uPwbBZFjjGgGUA6NLw09EwE0CqkOc4q9oUmW1yo/edit?usp=sharing"",""ลำพูน!M566"")"),0)</f>
        <v>0</v>
      </c>
      <c r="O671" s="536">
        <f ca="1">IF(L671&gt;0,N671*100/L671,0)</f>
        <v>0</v>
      </c>
      <c r="P671" s="536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IFERROR(__xludf.DUMMYFUNCTION("IMPORTRANGE(""https://docs.google.com/spreadsheets/d/11923uPwbBZFjjGgGUA6NLw09EwE0CqkOc4q9oUmW1yo/edit?usp=sharing"",""ลำพูน!J567"")"),0)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IFERROR(__xludf.DUMMYFUNCTION("IMPORTRANGE(""https://docs.google.com/spreadsheets/d/11923uPwbBZFjjGgGUA6NLw09EwE0CqkOc4q9oUmW1yo/edit?usp=sharing"",""ลำพูน!J568"")"),0)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IFERROR(__xludf.DUMMYFUNCTION("IMPORTRANGE(""https://docs.google.com/spreadsheets/d/11923uPwbBZFjjGgGUA6NLw09EwE0CqkOc4q9oUmW1yo/edit?usp=sharing"",""ลำพูน!J569"")"),0)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IFERROR(__xludf.DUMMYFUNCTION("IMPORTRANGE(""https://docs.google.com/spreadsheets/d/11923uPwbBZFjjGgGUA6NLw09EwE0CqkOc4q9oUmW1yo/edit?usp=sharing"",""ลำพูน!J570"")"),0)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IFERROR(__xludf.DUMMYFUNCTION("IMPORTRANGE(""https://docs.google.com/spreadsheets/d/11923uPwbBZFjjGgGUA6NLw09EwE0CqkOc4q9oUmW1yo/edit?usp=sharing"",""ลำพูน!J571"")"),0)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5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IFERROR(__xludf.DUMMYFUNCTION("IMPORTRANGE(""https://docs.google.com/spreadsheets/d/11923uPwbBZFjjGgGUA6NLw09EwE0CqkOc4q9oUmW1yo/edit?usp=sharing"",""ลำพูน!J572"")"),0)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35">
      <c r="A2" s="577" t="s">
        <v>288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3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5477348</v>
      </c>
      <c r="M8" s="23">
        <f t="shared" ca="1" si="0"/>
        <v>3110693</v>
      </c>
      <c r="N8" s="23">
        <f t="shared" ca="1" si="0"/>
        <v>3637656.0599999996</v>
      </c>
      <c r="O8" s="22">
        <f t="shared" ref="O8:O16" ca="1" si="1">IF(L8&gt;0,N8*100/L8,0)</f>
        <v>66.412724917240965</v>
      </c>
      <c r="P8" s="22">
        <f t="shared" ref="P8:P16" ca="1" si="2">IF(M8&gt;0,N8*100/M8,0)</f>
        <v>116.94037502254319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5477348</v>
      </c>
      <c r="M10" s="30">
        <f t="shared" ca="1" si="4"/>
        <v>3110693</v>
      </c>
      <c r="N10" s="30">
        <f t="shared" ca="1" si="4"/>
        <v>3637656.0599999996</v>
      </c>
      <c r="O10" s="29">
        <f t="shared" ca="1" si="1"/>
        <v>66.412724917240965</v>
      </c>
      <c r="P10" s="29">
        <f t="shared" ca="1" si="2"/>
        <v>116.94037502254319</v>
      </c>
    </row>
    <row r="11" spans="1:16" ht="21.75" customHeight="1" x14ac:dyDescent="0.45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5301348</v>
      </c>
      <c r="M12" s="39">
        <f t="shared" ca="1" si="6"/>
        <v>2934693</v>
      </c>
      <c r="N12" s="39">
        <f t="shared" ca="1" si="6"/>
        <v>3461656.0599999996</v>
      </c>
      <c r="O12" s="39">
        <f t="shared" ca="1" si="1"/>
        <v>65.297657501450558</v>
      </c>
      <c r="P12" s="39">
        <f t="shared" ca="1" si="2"/>
        <v>117.95632660724647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2053100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3248248</v>
      </c>
      <c r="M14" s="39">
        <f t="shared" si="8"/>
        <v>0</v>
      </c>
      <c r="N14" s="39">
        <f t="shared" ca="1" si="8"/>
        <v>1116561.8</v>
      </c>
      <c r="O14" s="39">
        <f t="shared" ca="1" si="1"/>
        <v>34.374278072363936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176000</v>
      </c>
      <c r="M16" s="39">
        <f t="shared" ca="1" si="10"/>
        <v>176000</v>
      </c>
      <c r="N16" s="39">
        <f t="shared" ca="1" si="10"/>
        <v>176000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3474365</v>
      </c>
      <c r="M18" s="23">
        <f t="shared" ca="1" si="11"/>
        <v>3110693</v>
      </c>
      <c r="N18" s="23">
        <f t="shared" ca="1" si="11"/>
        <v>2521094.2599999998</v>
      </c>
      <c r="O18" s="22">
        <f t="shared" ref="O18:O20" ca="1" si="12">IF(L18&gt;0,N18*100/L18,0)</f>
        <v>72.562734773116802</v>
      </c>
      <c r="P18" s="22">
        <f t="shared" ref="P18:P26" ca="1" si="13">IF(M18&gt;0,N18*100/M18,0)</f>
        <v>81.046064655046308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3474365</v>
      </c>
      <c r="M20" s="30">
        <f t="shared" ca="1" si="15"/>
        <v>3110693</v>
      </c>
      <c r="N20" s="30">
        <f t="shared" ca="1" si="15"/>
        <v>2521094.2599999998</v>
      </c>
      <c r="O20" s="29">
        <f t="shared" ca="1" si="12"/>
        <v>72.562734773116802</v>
      </c>
      <c r="P20" s="29">
        <f t="shared" ca="1" si="13"/>
        <v>81.046064655046308</v>
      </c>
    </row>
    <row r="21" spans="1:16" ht="21.75" customHeight="1" x14ac:dyDescent="0.45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3298365</v>
      </c>
      <c r="M22" s="42">
        <f t="shared" ca="1" si="18"/>
        <v>2934693</v>
      </c>
      <c r="N22" s="39">
        <f t="shared" ca="1" si="18"/>
        <v>2345094.2599999998</v>
      </c>
      <c r="O22" s="39">
        <f t="shared" ca="1" si="17"/>
        <v>71.098688592681512</v>
      </c>
      <c r="P22" s="39">
        <f t="shared" ca="1" si="13"/>
        <v>79.909355424911553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2053100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1245265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176000</v>
      </c>
      <c r="M26" s="50">
        <f t="shared" ca="1" si="22"/>
        <v>176000</v>
      </c>
      <c r="N26" s="50">
        <f t="shared" ca="1" si="22"/>
        <v>176000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2002983</v>
      </c>
      <c r="M28" s="23">
        <f t="shared" si="23"/>
        <v>0</v>
      </c>
      <c r="N28" s="23">
        <f t="shared" ca="1" si="23"/>
        <v>1116561.8</v>
      </c>
      <c r="O28" s="22">
        <f t="shared" ref="O28:O30" ca="1" si="24">IF(L28&gt;0,N28*100/L28,0)</f>
        <v>55.744946412425868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2002983</v>
      </c>
      <c r="M30" s="30">
        <f t="shared" si="27"/>
        <v>0</v>
      </c>
      <c r="N30" s="30">
        <f t="shared" ca="1" si="27"/>
        <v>1116561.8</v>
      </c>
      <c r="O30" s="29">
        <f t="shared" ca="1" si="24"/>
        <v>55.744946412425868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2002983</v>
      </c>
      <c r="M32" s="39">
        <f t="shared" si="30"/>
        <v>0</v>
      </c>
      <c r="N32" s="39">
        <f t="shared" ca="1" si="30"/>
        <v>1116561.8</v>
      </c>
      <c r="O32" s="39">
        <f t="shared" ca="1" si="29"/>
        <v>55.744946412425868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2002983</v>
      </c>
      <c r="M34" s="39">
        <f t="shared" si="32"/>
        <v>0</v>
      </c>
      <c r="N34" s="39">
        <f t="shared" ca="1" si="32"/>
        <v>1116561.8</v>
      </c>
      <c r="O34" s="39">
        <f t="shared" ca="1" si="29"/>
        <v>55.744946412425868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3474365</v>
      </c>
      <c r="M37" s="55">
        <f t="shared" ca="1" si="33"/>
        <v>3110693</v>
      </c>
      <c r="N37" s="55">
        <f t="shared" ca="1" si="33"/>
        <v>2521094.2599999998</v>
      </c>
      <c r="O37" s="56">
        <f t="shared" ca="1" si="29"/>
        <v>72.562734773116802</v>
      </c>
      <c r="P37" s="56">
        <f t="shared" ca="1" si="25"/>
        <v>81.046064655046308</v>
      </c>
    </row>
    <row r="38" spans="1:16" ht="21.75" customHeight="1" x14ac:dyDescent="0.45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777100</v>
      </c>
      <c r="M41" s="79">
        <f t="shared" ca="1" si="34"/>
        <v>635320</v>
      </c>
      <c r="N41" s="79">
        <f t="shared" ca="1" si="34"/>
        <v>500215.68</v>
      </c>
      <c r="O41" s="78">
        <f t="shared" ref="O41:O43" ca="1" si="35">IF(L41&gt;0,N41*100/L41,0)</f>
        <v>64.369538025994075</v>
      </c>
      <c r="P41" s="78">
        <f t="shared" ref="P41:P43" ca="1" si="36">IF(M41&gt;0,N41*100/M41,0)</f>
        <v>78.73444563369641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777100</v>
      </c>
      <c r="M43" s="79">
        <f t="shared" ca="1" si="38"/>
        <v>635320</v>
      </c>
      <c r="N43" s="79">
        <f t="shared" ca="1" si="38"/>
        <v>500215.68</v>
      </c>
      <c r="O43" s="78">
        <f t="shared" ca="1" si="35"/>
        <v>64.369538025994075</v>
      </c>
      <c r="P43" s="78">
        <f t="shared" ca="1" si="36"/>
        <v>78.73444563369641</v>
      </c>
    </row>
    <row r="44" spans="1:16" ht="21.75" customHeight="1" x14ac:dyDescent="0.45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751100</v>
      </c>
      <c r="M45" s="50">
        <f ca="1">IFERROR(__xludf.DUMMYFUNCTION("IMPORTRANGE(""https://docs.google.com/spreadsheets/d/1Yj_ptqi66GCucihVvJfMjLAmec39IyEx_6qawtMGysU/edit?usp=sharing"",""สบก!Q34"")"),609320)</f>
        <v>609320</v>
      </c>
      <c r="N45" s="50">
        <f ca="1">IFERROR(__xludf.DUMMYFUNCTION("IMPORTRANGE(""https://docs.google.com/spreadsheets/d/1Yj_ptqi66GCucihVvJfMjLAmec39IyEx_6qawtMGysU/edit?usp=sharing"",""สบก!R34"")"),474215.68)</f>
        <v>474215.67999999999</v>
      </c>
      <c r="O45" s="39">
        <f ca="1">IF(L45&gt;0,N45*100/L45,0)</f>
        <v>63.136157635467981</v>
      </c>
      <c r="P45" s="39">
        <f ca="1">IF(M45&gt;0,N45*100/M45,0)</f>
        <v>77.827033414297901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IFERROR(__xludf.DUMMYFUNCTION("IMPORTRANGE(""https://docs.google.com/spreadsheets/d/1Yj_ptqi66GCucihVvJfMjLAmec39IyEx_6qawtMGysU/edit?usp=sharing"",""สบก!M34"")"),751100)</f>
        <v>751100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IFERROR(__xludf.DUMMYFUNCTION("IMPORTRANGE(""https://docs.google.com/spreadsheets/d/1Yj_ptqi66GCucihVvJfMjLAmec39IyEx_6qawtMGysU/edit?usp=sharing"",""สบก!N34"")"),0)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IFERROR(__xludf.DUMMYFUNCTION("IMPORTRANGE(""https://docs.google.com/spreadsheets/d/1Yj_ptqi66GCucihVvJfMjLAmec39IyEx_6qawtMGysU/edit?usp=sharing"",""สบก!O34"")"),26000)</f>
        <v>26000</v>
      </c>
      <c r="M49" s="50">
        <f ca="1">L49</f>
        <v>26000</v>
      </c>
      <c r="N49" s="50">
        <f ca="1">IFERROR(__xludf.DUMMYFUNCTION("IMPORTRANGE(""https://docs.google.com/spreadsheets/d/1Yj_ptqi66GCucihVvJfMjLAmec39IyEx_6qawtMGysU/edit?usp=sharing"",""สบก!S34"")"),26000)</f>
        <v>26000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441863</v>
      </c>
      <c r="N53" s="121">
        <f t="shared" ca="1" si="39"/>
        <v>434052.84</v>
      </c>
      <c r="O53" s="120">
        <f t="shared" ref="O53:O55" ca="1" si="40">IF(L53&gt;0,N53*100/L53,0)</f>
        <v>96.456186666666667</v>
      </c>
      <c r="P53" s="120">
        <f t="shared" ref="P53:P55" ca="1" si="41">IF(M53&gt;0,N53*100/M53,0)</f>
        <v>98.232447613853168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441863</v>
      </c>
      <c r="N55" s="121">
        <f t="shared" ca="1" si="43"/>
        <v>434052.84</v>
      </c>
      <c r="O55" s="120">
        <f t="shared" ca="1" si="40"/>
        <v>96.456186666666667</v>
      </c>
      <c r="P55" s="120">
        <f t="shared" ca="1" si="41"/>
        <v>98.232447613853168</v>
      </c>
    </row>
    <row r="56" spans="1:16" ht="21.75" customHeight="1" x14ac:dyDescent="0.45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450000</v>
      </c>
      <c r="M57" s="50">
        <f ca="1">IFERROR(__xludf.DUMMYFUNCTION("IMPORTRANGE(""https://docs.google.com/spreadsheets/d/1Yj_ptqi66GCucihVvJfMjLAmec39IyEx_6qawtMGysU/edit?usp=sharing"",""สบก!Z34"")"),441863)</f>
        <v>441863</v>
      </c>
      <c r="N57" s="50">
        <f ca="1">IFERROR(__xludf.DUMMYFUNCTION("IMPORTRANGE(""https://docs.google.com/spreadsheets/d/1Yj_ptqi66GCucihVvJfMjLAmec39IyEx_6qawtMGysU/edit?usp=sharing"",""สบก!AA34"")"),434052.84)</f>
        <v>434052.84</v>
      </c>
      <c r="O57" s="39">
        <f ca="1">IF(L57&gt;0,N57*100/L57,0)</f>
        <v>96.456186666666667</v>
      </c>
      <c r="P57" s="39">
        <f ca="1">IF(M57&gt;0,N57*100/M57,0)</f>
        <v>98.232447613853168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IFERROR(__xludf.DUMMYFUNCTION("IMPORTRANGE(""https://docs.google.com/spreadsheets/d/1Yj_ptqi66GCucihVvJfMjLAmec39IyEx_6qawtMGysU/edit?usp=sharing"",""สบก!V34"")"),450000)</f>
        <v>450000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IFERROR(__xludf.DUMMYFUNCTION("IMPORTRANGE(""https://docs.google.com/spreadsheets/d/1Yj_ptqi66GCucihVvJfMjLAmec39IyEx_6qawtMGysU/edit?usp=sharing"",""สบก!W34"")"),0)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IFERROR(__xludf.DUMMYFUNCTION("IMPORTRANGE(""https://docs.google.com/spreadsheets/d/1Yj_ptqi66GCucihVvJfMjLAmec39IyEx_6qawtMGysU/edit?usp=sharing"",""สบก!X34"")"),0)</f>
        <v>0</v>
      </c>
      <c r="M61" s="50"/>
      <c r="N61" s="50">
        <f ca="1">IFERROR(__xludf.DUMMYFUNCTION("IMPORTRANGE(""https://docs.google.com/spreadsheets/d/1Yj_ptqi66GCucihVvJfMjLAmec39IyEx_6qawtMGysU/edit?usp=sharing"",""สบก!AB34"")"),0)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IFERROR(__xludf.DUMMYFUNCTION("IMPORTRANGE(""https://docs.google.com/spreadsheets/d/11923uPwbBZFjjGgGUA6NLw09EwE0CqkOc4q9oUmW1yo/edit?usp=sharing"",""สุโขทัย!I9"")"),1)</f>
        <v>1</v>
      </c>
      <c r="J64" s="142">
        <f ca="1">IFERROR(__xludf.DUMMYFUNCTION("IMPORTRANGE(""https://docs.google.com/spreadsheets/d/11923uPwbBZFjjGgGUA6NLw09EwE0CqkOc4q9oUmW1yo/edit?usp=sharing"",""สุโขทัย!J9"")"),1)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IFERROR(__xludf.DUMMYFUNCTION("IMPORTRANGE(""https://docs.google.com/spreadsheets/d/11923uPwbBZFjjGgGUA6NLw09EwE0CqkOc4q9oUmW1yo/edit?usp=sharing"",""สุโขทัย!I10"")"),75)</f>
        <v>75</v>
      </c>
      <c r="J65" s="142">
        <f ca="1">IFERROR(__xludf.DUMMYFUNCTION("IMPORTRANGE(""https://docs.google.com/spreadsheets/d/11923uPwbBZFjjGgGUA6NLw09EwE0CqkOc4q9oUmW1yo/edit?usp=sharing"",""สุโขทัย!J10"")"),75)</f>
        <v>75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956800</v>
      </c>
      <c r="M66" s="152">
        <f t="shared" ca="1" si="45"/>
        <v>876720</v>
      </c>
      <c r="N66" s="152">
        <f t="shared" ca="1" si="45"/>
        <v>791266.94</v>
      </c>
      <c r="O66" s="151">
        <f t="shared" ref="O66:O68" ca="1" si="46">IF(L66&gt;0,N66*100/L66,0)</f>
        <v>82.69930392976589</v>
      </c>
      <c r="P66" s="151">
        <f t="shared" ref="P66:P68" ca="1" si="47">IF(M66&gt;0,N66*100/M66,0)</f>
        <v>90.253095629163241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956800</v>
      </c>
      <c r="M68" s="88">
        <f t="shared" ca="1" si="49"/>
        <v>876720</v>
      </c>
      <c r="N68" s="88">
        <f t="shared" ca="1" si="49"/>
        <v>791266.94</v>
      </c>
      <c r="O68" s="156">
        <f t="shared" ca="1" si="46"/>
        <v>82.69930392976589</v>
      </c>
      <c r="P68" s="156">
        <f t="shared" ca="1" si="47"/>
        <v>90.253095629163241</v>
      </c>
    </row>
    <row r="69" spans="1:16" ht="21.75" customHeight="1" x14ac:dyDescent="0.45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806800</v>
      </c>
      <c r="M70" s="167">
        <f ca="1">IFERROR(__xludf.DUMMYFUNCTION("IMPORTRANGE(""https://docs.google.com/spreadsheets/d/1Yj_ptqi66GCucihVvJfMjLAmec39IyEx_6qawtMGysU/edit?usp=sharing"",""สบก!AI34"")"),726720)</f>
        <v>726720</v>
      </c>
      <c r="N70" s="168">
        <f ca="1">IFERROR(__xludf.DUMMYFUNCTION("IMPORTRANGE(""https://docs.google.com/spreadsheets/d/1Yj_ptqi66GCucihVvJfMjLAmec39IyEx_6qawtMGysU/edit?usp=sharing"",""สบก!AJ34"")"),641266.94)</f>
        <v>641266.93999999994</v>
      </c>
      <c r="O70" s="168">
        <f ca="1">IF(L70&gt;0,N70*100/L70,0)</f>
        <v>79.48276400594942</v>
      </c>
      <c r="P70" s="168">
        <f ca="1">IF(M70&gt;0,N70*100/M70,0)</f>
        <v>88.241267613386157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IFERROR(__xludf.DUMMYFUNCTION("IMPORTRANGE(""https://docs.google.com/spreadsheets/d/1Yj_ptqi66GCucihVvJfMjLAmec39IyEx_6qawtMGysU/edit?usp=sharing"",""สบก!AE34"")"),190800)</f>
        <v>190800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IFERROR(__xludf.DUMMYFUNCTION("IMPORTRANGE(""https://docs.google.com/spreadsheets/d/1Yj_ptqi66GCucihVvJfMjLAmec39IyEx_6qawtMGysU/edit?usp=sharing"",""สบก!AF34"")"),616000)</f>
        <v>616000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IFERROR(__xludf.DUMMYFUNCTION("IMPORTRANGE(""https://docs.google.com/spreadsheets/d/1Yj_ptqi66GCucihVvJfMjLAmec39IyEx_6qawtMGysU/edit?usp=sharing"",""สบก!AG34"")"),150000)</f>
        <v>150000</v>
      </c>
      <c r="M74" s="50">
        <f ca="1">L74</f>
        <v>150000</v>
      </c>
      <c r="N74" s="50">
        <f ca="1">IFERROR(__xludf.DUMMYFUNCTION("IMPORTRANGE(""https://docs.google.com/spreadsheets/d/1Yj_ptqi66GCucihVvJfMjLAmec39IyEx_6qawtMGysU/edit?usp=sharing"",""สบก!AK34"")"),150000)</f>
        <v>150000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IFERROR(__xludf.DUMMYFUNCTION("IMPORTRANGE(""https://docs.google.com/spreadsheets/d/11923uPwbBZFjjGgGUA6NLw09EwE0CqkOc4q9oUmW1yo/edit?usp=sharing"",""สุโขทัย!J16"")"),0)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IFERROR(__xludf.DUMMYFUNCTION("IMPORTRANGE(""https://docs.google.com/spreadsheets/d/11923uPwbBZFjjGgGUA6NLw09EwE0CqkOc4q9oUmW1yo/edit?usp=sharing"",""สุโขทัย!J17"")"),1)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IFERROR(__xludf.DUMMYFUNCTION("IMPORTRANGE(""https://docs.google.com/spreadsheets/d/11923uPwbBZFjjGgGUA6NLw09EwE0CqkOc4q9oUmW1yo/edit?usp=sharing"",""สุโขทัย!J18"")"),1)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IFERROR(__xludf.DUMMYFUNCTION("IMPORTRANGE(""https://docs.google.com/spreadsheets/d/11923uPwbBZFjjGgGUA6NLw09EwE0CqkOc4q9oUmW1yo/edit?usp=sharing"",""สุโขทัย!J19"")"),1)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IFERROR(__xludf.DUMMYFUNCTION("IMPORTRANGE(""https://docs.google.com/spreadsheets/d/11923uPwbBZFjjGgGUA6NLw09EwE0CqkOc4q9oUmW1yo/edit?usp=sharing"",""สุโขทัย!I20"")"),1)</f>
        <v>1</v>
      </c>
      <c r="J80" s="200">
        <f ca="1">IFERROR(__xludf.DUMMYFUNCTION("IMPORTRANGE(""https://docs.google.com/spreadsheets/d/11923uPwbBZFjjGgGUA6NLw09EwE0CqkOc4q9oUmW1yo/edit?usp=sharing"",""สุโขทัย!J20"")"),1)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IFERROR(__xludf.DUMMYFUNCTION("IMPORTRANGE(""https://docs.google.com/spreadsheets/d/11923uPwbBZFjjGgGUA6NLw09EwE0CqkOc4q9oUmW1yo/edit?usp=sharing"",""สุโขทัย!I21"")"),75)</f>
        <v>75</v>
      </c>
      <c r="J81" s="200">
        <f ca="1">IFERROR(__xludf.DUMMYFUNCTION("IMPORTRANGE(""https://docs.google.com/spreadsheets/d/11923uPwbBZFjjGgGUA6NLw09EwE0CqkOc4q9oUmW1yo/edit?usp=sharing"",""สุโขทัย!J21"")"),75)</f>
        <v>75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IFERROR(__xludf.DUMMYFUNCTION("IMPORTRANGE(""https://docs.google.com/spreadsheets/d/11923uPwbBZFjjGgGUA6NLw09EwE0CqkOc4q9oUmW1yo/edit?usp=sharing"",""สุโขทัย!I22"")"),0)</f>
        <v>0</v>
      </c>
      <c r="J82" s="203">
        <f ca="1">IFERROR(__xludf.DUMMYFUNCTION("IMPORTRANGE(""https://docs.google.com/spreadsheets/d/11923uPwbBZFjjGgGUA6NLw09EwE0CqkOc4q9oUmW1yo/edit?usp=sharing"",""สุโขทัย!J22"")"),0)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IFERROR(__xludf.DUMMYFUNCTION("IMPORTRANGE(""https://docs.google.com/spreadsheets/d/11923uPwbBZFjjGgGUA6NLw09EwE0CqkOc4q9oUmW1yo/edit?usp=sharing"",""สุโขทัย!I23"")"),0)</f>
        <v>0</v>
      </c>
      <c r="J83" s="203">
        <f ca="1">IFERROR(__xludf.DUMMYFUNCTION("IMPORTRANGE(""https://docs.google.com/spreadsheets/d/11923uPwbBZFjjGgGUA6NLw09EwE0CqkOc4q9oUmW1yo/edit?usp=sharing"",""สุโขทัย!J23"")"),0)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IFERROR(__xludf.DUMMYFUNCTION("IMPORTRANGE(""https://docs.google.com/spreadsheets/d/11923uPwbBZFjjGgGUA6NLw09EwE0CqkOc4q9oUmW1yo/edit?usp=sharing"",""สุโขทัย!I24"")"),1)</f>
        <v>1</v>
      </c>
      <c r="J84" s="188">
        <f ca="1">IFERROR(__xludf.DUMMYFUNCTION("IMPORTRANGE(""https://docs.google.com/spreadsheets/d/11923uPwbBZFjjGgGUA6NLw09EwE0CqkOc4q9oUmW1yo/edit?usp=sharing"",""สุโขทัย!J24"")"),1)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IFERROR(__xludf.DUMMYFUNCTION("IMPORTRANGE(""https://docs.google.com/spreadsheets/d/11923uPwbBZFjjGgGUA6NLw09EwE0CqkOc4q9oUmW1yo/edit?usp=sharing"",""สุโขทัย!I25"")"),75)</f>
        <v>75</v>
      </c>
      <c r="J85" s="188">
        <f ca="1">IFERROR(__xludf.DUMMYFUNCTION("IMPORTRANGE(""https://docs.google.com/spreadsheets/d/11923uPwbBZFjjGgGUA6NLw09EwE0CqkOc4q9oUmW1yo/edit?usp=sharing"",""สุโขทัย!J25"")"),75)</f>
        <v>75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IFERROR(__xludf.DUMMYFUNCTION("IMPORTRANGE(""https://docs.google.com/spreadsheets/d/11923uPwbBZFjjGgGUA6NLw09EwE0CqkOc4q9oUmW1yo/edit?usp=sharing"",""สุโขทัย!I26"")"),0)</f>
        <v>0</v>
      </c>
      <c r="J86" s="203">
        <f ca="1">IFERROR(__xludf.DUMMYFUNCTION("IMPORTRANGE(""https://docs.google.com/spreadsheets/d/11923uPwbBZFjjGgGUA6NLw09EwE0CqkOc4q9oUmW1yo/edit?usp=sharing"",""สุโขทัย!J26"")"),0)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IFERROR(__xludf.DUMMYFUNCTION("IMPORTRANGE(""https://docs.google.com/spreadsheets/d/11923uPwbBZFjjGgGUA6NLw09EwE0CqkOc4q9oUmW1yo/edit?usp=sharing"",""สุโขทัย!I27"")"),0)</f>
        <v>0</v>
      </c>
      <c r="J87" s="203">
        <f ca="1">IFERROR(__xludf.DUMMYFUNCTION("IMPORTRANGE(""https://docs.google.com/spreadsheets/d/11923uPwbBZFjjGgGUA6NLw09EwE0CqkOc4q9oUmW1yo/edit?usp=sharing"",""สุโขทัย!J27"")"),0)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IFERROR(__xludf.DUMMYFUNCTION("IMPORTRANGE(""https://docs.google.com/spreadsheets/d/11923uPwbBZFjjGgGUA6NLw09EwE0CqkOc4q9oUmW1yo/edit?usp=sharing"",""สุโขทัย!I28"")"),1)</f>
        <v>1</v>
      </c>
      <c r="J88" s="203">
        <f ca="1">IFERROR(__xludf.DUMMYFUNCTION("IMPORTRANGE(""https://docs.google.com/spreadsheets/d/11923uPwbBZFjjGgGUA6NLw09EwE0CqkOc4q9oUmW1yo/edit?usp=sharing"",""สุโขทัย!J28"")"),0)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IFERROR(__xludf.DUMMYFUNCTION("IMPORTRANGE(""https://docs.google.com/spreadsheets/d/11923uPwbBZFjjGgGUA6NLw09EwE0CqkOc4q9oUmW1yo/edit?usp=sharing"",""สุโขทัย!J29"")"),0)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IFERROR(__xludf.DUMMYFUNCTION("IMPORTRANGE(""https://docs.google.com/spreadsheets/d/11923uPwbBZFjjGgGUA6NLw09EwE0CqkOc4q9oUmW1yo/edit?usp=sharing"",""สุโขทัย!J30"")"),0)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IFERROR(__xludf.DUMMYFUNCTION("IMPORTRANGE(""https://docs.google.com/spreadsheets/d/11923uPwbBZFjjGgGUA6NLw09EwE0CqkOc4q9oUmW1yo/edit?usp=sharing"",""สุโขทัย!I32"")"),0)</f>
        <v>0</v>
      </c>
      <c r="J92" s="142">
        <f ca="1">IFERROR(__xludf.DUMMYFUNCTION("IMPORTRANGE(""https://docs.google.com/spreadsheets/d/11923uPwbBZFjjGgGUA6NLw09EwE0CqkOc4q9oUmW1yo/edit?usp=sharing"",""สุโขทัย!J32"")"),0)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IFERROR(__xludf.DUMMYFUNCTION("IMPORTRANGE(""https://docs.google.com/spreadsheets/d/11923uPwbBZFjjGgGUA6NLw09EwE0CqkOc4q9oUmW1yo/edit?usp=sharing"",""สุโขทัย!I33"")"),0)</f>
        <v>0</v>
      </c>
      <c r="J93" s="142">
        <f ca="1">IFERROR(__xludf.DUMMYFUNCTION("IMPORTRANGE(""https://docs.google.com/spreadsheets/d/11923uPwbBZFjjGgGUA6NLw09EwE0CqkOc4q9oUmW1yo/edit?usp=sharing"",""สุโขทัย!J33"")"),0)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IFERROR(__xludf.DUMMYFUNCTION("IMPORTRANGE(""https://docs.google.com/spreadsheets/d/1Yj_ptqi66GCucihVvJfMjLAmec39IyEx_6qawtMGysU/edit?usp=sharing"",""สบก!AR34"")"),0)</f>
        <v>0</v>
      </c>
      <c r="N98" s="168">
        <f ca="1">IFERROR(__xludf.DUMMYFUNCTION("IMPORTRANGE(""https://docs.google.com/spreadsheets/d/1Yj_ptqi66GCucihVvJfMjLAmec39IyEx_6qawtMGysU/edit?usp=sharing"",""สบก!AS34"")"),0)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IFERROR(__xludf.DUMMYFUNCTION("IMPORTRANGE(""https://docs.google.com/spreadsheets/d/1Yj_ptqi66GCucihVvJfMjLAmec39IyEx_6qawtMGysU/edit?usp=sharing"",""สบก!AN34"")"),0)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IFERROR(__xludf.DUMMYFUNCTION("IMPORTRANGE(""https://docs.google.com/spreadsheets/d/1Yj_ptqi66GCucihVvJfMjLAmec39IyEx_6qawtMGysU/edit?usp=sharing"",""สบก!AO34"")"),0)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IFERROR(__xludf.DUMMYFUNCTION("IMPORTRANGE(""https://docs.google.com/spreadsheets/d/1Yj_ptqi66GCucihVvJfMjLAmec39IyEx_6qawtMGysU/edit?usp=sharing"",""สบก!AP34"")"),0)</f>
        <v>0</v>
      </c>
      <c r="M102" s="50"/>
      <c r="N102" s="50">
        <f ca="1">IFERROR(__xludf.DUMMYFUNCTION("IMPORTRANGE(""https://docs.google.com/spreadsheets/d/1Yj_ptqi66GCucihVvJfMjLAmec39IyEx_6qawtMGysU/edit?usp=sharing"",""สบก!AT34"")"),0)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IFERROR(__xludf.DUMMYFUNCTION("IMPORTRANGE(""https://docs.google.com/spreadsheets/d/11923uPwbBZFjjGgGUA6NLw09EwE0CqkOc4q9oUmW1yo/edit?usp=sharing"",""สุโขทัย!J39"")"),0)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IFERROR(__xludf.DUMMYFUNCTION("IMPORTRANGE(""https://docs.google.com/spreadsheets/d/11923uPwbBZFjjGgGUA6NLw09EwE0CqkOc4q9oUmW1yo/edit?usp=sharing"",""สุโขทัย!J40"")"),0)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IFERROR(__xludf.DUMMYFUNCTION("IMPORTRANGE(""https://docs.google.com/spreadsheets/d/11923uPwbBZFjjGgGUA6NLw09EwE0CqkOc4q9oUmW1yo/edit?usp=sharing"",""สุโขทัย!J41"")"),0)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IFERROR(__xludf.DUMMYFUNCTION("IMPORTRANGE(""https://docs.google.com/spreadsheets/d/11923uPwbBZFjjGgGUA6NLw09EwE0CqkOc4q9oUmW1yo/edit?usp=sharing"",""สุโขทัย!J42"")"),0)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IFERROR(__xludf.DUMMYFUNCTION("IMPORTRANGE(""https://docs.google.com/spreadsheets/d/11923uPwbBZFjjGgGUA6NLw09EwE0CqkOc4q9oUmW1yo/edit?usp=sharing"",""สุโขทัย!I43"")"),0)</f>
        <v>0</v>
      </c>
      <c r="J108" s="203">
        <f ca="1">IFERROR(__xludf.DUMMYFUNCTION("IMPORTRANGE(""https://docs.google.com/spreadsheets/d/11923uPwbBZFjjGgGUA6NLw09EwE0CqkOc4q9oUmW1yo/edit?usp=sharing"",""สุโขทัย!J43"")"),0)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IFERROR(__xludf.DUMMYFUNCTION("IMPORTRANGE(""https://docs.google.com/spreadsheets/d/11923uPwbBZFjjGgGUA6NLw09EwE0CqkOc4q9oUmW1yo/edit?usp=sharing"",""สุโขทัย!I44"")"),0)</f>
        <v>0</v>
      </c>
      <c r="J109" s="203">
        <f ca="1">IFERROR(__xludf.DUMMYFUNCTION("IMPORTRANGE(""https://docs.google.com/spreadsheets/d/11923uPwbBZFjjGgGUA6NLw09EwE0CqkOc4q9oUmW1yo/edit?usp=sharing"",""สุโขทัย!J44"")"),0)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IFERROR(__xludf.DUMMYFUNCTION("IMPORTRANGE(""https://docs.google.com/spreadsheets/d/11923uPwbBZFjjGgGUA6NLw09EwE0CqkOc4q9oUmW1yo/edit?usp=sharing"",""สุโขทัย!I45"")"),0)</f>
        <v>0</v>
      </c>
      <c r="J110" s="203">
        <f ca="1">IFERROR(__xludf.DUMMYFUNCTION("IMPORTRANGE(""https://docs.google.com/spreadsheets/d/11923uPwbBZFjjGgGUA6NLw09EwE0CqkOc4q9oUmW1yo/edit?usp=sharing"",""สุโขทัย!J45"")"),0)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IFERROR(__xludf.DUMMYFUNCTION("IMPORTRANGE(""https://docs.google.com/spreadsheets/d/11923uPwbBZFjjGgGUA6NLw09EwE0CqkOc4q9oUmW1yo/edit?usp=sharing"",""สุโขทัย!I46"")"),0)</f>
        <v>0</v>
      </c>
      <c r="J111" s="203">
        <f ca="1">IFERROR(__xludf.DUMMYFUNCTION("IMPORTRANGE(""https://docs.google.com/spreadsheets/d/11923uPwbBZFjjGgGUA6NLw09EwE0CqkOc4q9oUmW1yo/edit?usp=sharing"",""สุโขทัย!J46"")"),0)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IFERROR(__xludf.DUMMYFUNCTION("IMPORTRANGE(""https://docs.google.com/spreadsheets/d/11923uPwbBZFjjGgGUA6NLw09EwE0CqkOc4q9oUmW1yo/edit?usp=sharing"",""สุโขทัย!I47"")"),0)</f>
        <v>0</v>
      </c>
      <c r="J112" s="203">
        <f ca="1">IFERROR(__xludf.DUMMYFUNCTION("IMPORTRANGE(""https://docs.google.com/spreadsheets/d/11923uPwbBZFjjGgGUA6NLw09EwE0CqkOc4q9oUmW1yo/edit?usp=sharing"",""สุโขทัย!J47"")"),0)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IFERROR(__xludf.DUMMYFUNCTION("IMPORTRANGE(""https://docs.google.com/spreadsheets/d/11923uPwbBZFjjGgGUA6NLw09EwE0CqkOc4q9oUmW1yo/edit?usp=sharing"",""สุโขทัย!I48"")"),0)</f>
        <v>0</v>
      </c>
      <c r="J113" s="203">
        <f ca="1">IFERROR(__xludf.DUMMYFUNCTION("IMPORTRANGE(""https://docs.google.com/spreadsheets/d/11923uPwbBZFjjGgGUA6NLw09EwE0CqkOc4q9oUmW1yo/edit?usp=sharing"",""สุโขทัย!J48"")"),0)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IFERROR(__xludf.DUMMYFUNCTION("IMPORTRANGE(""https://docs.google.com/spreadsheets/d/11923uPwbBZFjjGgGUA6NLw09EwE0CqkOc4q9oUmW1yo/edit?usp=sharing"",""สุโขทัย!J49"")"),0)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IFERROR(__xludf.DUMMYFUNCTION("IMPORTRANGE(""https://docs.google.com/spreadsheets/d/11923uPwbBZFjjGgGUA6NLw09EwE0CqkOc4q9oUmW1yo/edit?usp=sharing"",""สุโขทัย!J50"")"),0)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IFERROR(__xludf.DUMMYFUNCTION("IMPORTRANGE(""https://docs.google.com/spreadsheets/d/11923uPwbBZFjjGgGUA6NLw09EwE0CqkOc4q9oUmW1yo/edit?usp=sharing"",""สุโขทัย!I52"")"),20)</f>
        <v>20</v>
      </c>
      <c r="J117" s="142">
        <f ca="1">IFERROR(__xludf.DUMMYFUNCTION("IMPORTRANGE(""https://docs.google.com/spreadsheets/d/11923uPwbBZFjjGgGUA6NLw09EwE0CqkOc4q9oUmW1yo/edit?usp=sharing"",""สุโขทัย!J52"")"),20)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202440</v>
      </c>
      <c r="N118" s="152">
        <f t="shared" ca="1" si="58"/>
        <v>156040</v>
      </c>
      <c r="O118" s="151">
        <f t="shared" ref="O118:O120" ca="1" si="59">IF(L118&gt;0,N118*100/L118,0)</f>
        <v>189.27704997573994</v>
      </c>
      <c r="P118" s="151">
        <f t="shared" ref="P118:P120" ca="1" si="60">IF(M118&gt;0,N118*100/M118,0)</f>
        <v>77.079628531910686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202440</v>
      </c>
      <c r="N120" s="88">
        <f t="shared" ca="1" si="62"/>
        <v>156040</v>
      </c>
      <c r="O120" s="156">
        <f t="shared" ca="1" si="59"/>
        <v>189.27704997573994</v>
      </c>
      <c r="P120" s="156">
        <f t="shared" ca="1" si="60"/>
        <v>77.079628531910686</v>
      </c>
    </row>
    <row r="121" spans="1:16" ht="21.75" customHeight="1" x14ac:dyDescent="0.45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IFERROR(__xludf.DUMMYFUNCTION("IMPORTRANGE(""https://docs.google.com/spreadsheets/d/1Yj_ptqi66GCucihVvJfMjLAmec39IyEx_6qawtMGysU/edit?usp=sharing"",""สบก!BA34"")"),202440)</f>
        <v>202440</v>
      </c>
      <c r="N122" s="168">
        <f ca="1">IFERROR(__xludf.DUMMYFUNCTION("IMPORTRANGE(""https://docs.google.com/spreadsheets/d/1Yj_ptqi66GCucihVvJfMjLAmec39IyEx_6qawtMGysU/edit?usp=sharing"",""สบก!BB34"")"),156040)</f>
        <v>156040</v>
      </c>
      <c r="O122" s="168">
        <f ca="1">IF(L122&gt;0,N122*100/L122,0)</f>
        <v>189.27704997573994</v>
      </c>
      <c r="P122" s="168">
        <f ca="1">IF(M122&gt;0,N122*100/M122,0)</f>
        <v>77.079628531910686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IFERROR(__xludf.DUMMYFUNCTION("IMPORTRANGE(""https://docs.google.com/spreadsheets/d/1Yj_ptqi66GCucihVvJfMjLAmec39IyEx_6qawtMGysU/edit?usp=sharing"",""สบก!AW34"")"),0)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IFERROR(__xludf.DUMMYFUNCTION("IMPORTRANGE(""https://docs.google.com/spreadsheets/d/1Yj_ptqi66GCucihVvJfMjLAmec39IyEx_6qawtMGysU/edit?usp=sharing"",""สบก!AX34"")"),82440)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IFERROR(__xludf.DUMMYFUNCTION("IMPORTRANGE(""https://docs.google.com/spreadsheets/d/1Yj_ptqi66GCucihVvJfMjLAmec39IyEx_6qawtMGysU/edit?usp=sharing"",""สบก!AY34"")"),0)</f>
        <v>0</v>
      </c>
      <c r="M126" s="50"/>
      <c r="N126" s="50">
        <f ca="1">IFERROR(__xludf.DUMMYFUNCTION("IMPORTRANGE(""https://docs.google.com/spreadsheets/d/1Yj_ptqi66GCucihVvJfMjLAmec39IyEx_6qawtMGysU/edit?usp=sharing"",""สบก!BC34"")"),0)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289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IFERROR(__xludf.DUMMYFUNCTION("IMPORTRANGE(""https://docs.google.com/spreadsheets/d/11923uPwbBZFjjGgGUA6NLw09EwE0CqkOc4q9oUmW1yo/edit?usp=sharing"",""สุโขทัย!J58"")"),0)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IFERROR(__xludf.DUMMYFUNCTION("IMPORTRANGE(""https://docs.google.com/spreadsheets/d/11923uPwbBZFjjGgGUA6NLw09EwE0CqkOc4q9oUmW1yo/edit?usp=sharing"",""สุโขทัย!J59"")"),1)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IFERROR(__xludf.DUMMYFUNCTION("IMPORTRANGE(""https://docs.google.com/spreadsheets/d/11923uPwbBZFjjGgGUA6NLw09EwE0CqkOc4q9oUmW1yo/edit?usp=sharing"",""สุโขทัย!J60"")"),1)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IFERROR(__xludf.DUMMYFUNCTION("IMPORTRANGE(""https://docs.google.com/spreadsheets/d/11923uPwbBZFjjGgGUA6NLw09EwE0CqkOc4q9oUmW1yo/edit?usp=sharing"",""สุโขทัย!J61"")"),1)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IFERROR(__xludf.DUMMYFUNCTION("IMPORTRANGE(""https://docs.google.com/spreadsheets/d/11923uPwbBZFjjGgGUA6NLw09EwE0CqkOc4q9oUmW1yo/edit?usp=sharing"",""สุโขทัย!I62"")"),20)</f>
        <v>20</v>
      </c>
      <c r="J132" s="203">
        <f ca="1">IFERROR(__xludf.DUMMYFUNCTION("IMPORTRANGE(""https://docs.google.com/spreadsheets/d/11923uPwbBZFjjGgGUA6NLw09EwE0CqkOc4q9oUmW1yo/edit?usp=sharing"",""สุโขทัย!J62"")"),20)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IFERROR(__xludf.DUMMYFUNCTION("IMPORTRANGE(""https://docs.google.com/spreadsheets/d/11923uPwbBZFjjGgGUA6NLw09EwE0CqkOc4q9oUmW1yo/edit?usp=sharing"",""สุโขทัย!I63"")"),20)</f>
        <v>20</v>
      </c>
      <c r="J133" s="203">
        <f ca="1">IFERROR(__xludf.DUMMYFUNCTION("IMPORTRANGE(""https://docs.google.com/spreadsheets/d/11923uPwbBZFjjGgGUA6NLw09EwE0CqkOc4q9oUmW1yo/edit?usp=sharing"",""สุโขทัย!J63"")"),20)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IFERROR(__xludf.DUMMYFUNCTION("IMPORTRANGE(""https://docs.google.com/spreadsheets/d/11923uPwbBZFjjGgGUA6NLw09EwE0CqkOc4q9oUmW1yo/edit?usp=sharing"",""สุโขทัย!J64"")"),0)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IFERROR(__xludf.DUMMYFUNCTION("IMPORTRANGE(""https://docs.google.com/spreadsheets/d/11923uPwbBZFjjGgGUA6NLw09EwE0CqkOc4q9oUmW1yo/edit?usp=sharing"",""สุโขทัย!J65"")"),0)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IFERROR(__xludf.DUMMYFUNCTION("IMPORTRANGE(""https://docs.google.com/spreadsheets/d/11923uPwbBZFjjGgGUA6NLw09EwE0CqkOc4q9oUmW1yo/edit?usp=sharing"",""สุโขทัย!I68"")"),0)</f>
        <v>0</v>
      </c>
      <c r="J138" s="267">
        <f ca="1">IFERROR(__xludf.DUMMYFUNCTION("IMPORTRANGE(""https://docs.google.com/spreadsheets/d/11923uPwbBZFjjGgGUA6NLw09EwE0CqkOc4q9oUmW1yo/edit?usp=sharing"",""สุโขทัย!J68"")"),0)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83000</v>
      </c>
      <c r="M140" s="152">
        <f t="shared" ca="1" si="64"/>
        <v>117225</v>
      </c>
      <c r="N140" s="152">
        <f t="shared" ca="1" si="64"/>
        <v>53190</v>
      </c>
      <c r="O140" s="151">
        <f t="shared" ref="O140:O142" ca="1" si="65">IF(L140&gt;0,N140*100/L140,0)</f>
        <v>64.084337349397586</v>
      </c>
      <c r="P140" s="151">
        <f t="shared" ref="P140:P142" ca="1" si="66">IF(M140&gt;0,N140*100/M140,0)</f>
        <v>45.374280230326299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83000</v>
      </c>
      <c r="M142" s="88">
        <f t="shared" ca="1" si="68"/>
        <v>117225</v>
      </c>
      <c r="N142" s="88">
        <f t="shared" ca="1" si="68"/>
        <v>53190</v>
      </c>
      <c r="O142" s="156">
        <f t="shared" ca="1" si="65"/>
        <v>64.084337349397586</v>
      </c>
      <c r="P142" s="156">
        <f t="shared" ca="1" si="66"/>
        <v>45.374280230326299</v>
      </c>
    </row>
    <row r="143" spans="1:16" ht="21.75" customHeight="1" x14ac:dyDescent="0.45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83000</v>
      </c>
      <c r="M144" s="167">
        <f ca="1">IFERROR(__xludf.DUMMYFUNCTION("IMPORTRANGE(""https://docs.google.com/spreadsheets/d/1Yj_ptqi66GCucihVvJfMjLAmec39IyEx_6qawtMGysU/edit?usp=sharing"",""สบก!BJ34"")"),117225)</f>
        <v>117225</v>
      </c>
      <c r="N144" s="168">
        <f ca="1">IFERROR(__xludf.DUMMYFUNCTION("IMPORTRANGE(""https://docs.google.com/spreadsheets/d/1Yj_ptqi66GCucihVvJfMjLAmec39IyEx_6qawtMGysU/edit?usp=sharing"",""สบก!BK34"")"),53190)</f>
        <v>53190</v>
      </c>
      <c r="O144" s="168">
        <f ca="1">IF(L144&gt;0,N144*100/L144,0)</f>
        <v>64.084337349397586</v>
      </c>
      <c r="P144" s="168">
        <f ca="1">IF(M144&gt;0,N144*100/M144,0)</f>
        <v>45.374280230326299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IFERROR(__xludf.DUMMYFUNCTION("IMPORTRANGE(""https://docs.google.com/spreadsheets/d/1Yj_ptqi66GCucihVvJfMjLAmec39IyEx_6qawtMGysU/edit?usp=sharing"",""สบก!BF34"")"),0)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IFERROR(__xludf.DUMMYFUNCTION("IMPORTRANGE(""https://docs.google.com/spreadsheets/d/1Yj_ptqi66GCucihVvJfMjLAmec39IyEx_6qawtMGysU/edit?usp=sharing"",""สบก!BG34"")"),83000)</f>
        <v>83000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IFERROR(__xludf.DUMMYFUNCTION("IMPORTRANGE(""https://docs.google.com/spreadsheets/d/1Yj_ptqi66GCucihVvJfMjLAmec39IyEx_6qawtMGysU/edit?usp=sharing"",""สบก!BH34"")"),0)</f>
        <v>0</v>
      </c>
      <c r="M148" s="50"/>
      <c r="N148" s="50">
        <f ca="1">IFERROR(__xludf.DUMMYFUNCTION("IMPORTRANGE(""https://docs.google.com/spreadsheets/d/1Yj_ptqi66GCucihVvJfMjLAmec39IyEx_6qawtMGysU/edit?usp=sharing"",""สบก!BL34"")"),0)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IFERROR(__xludf.DUMMYFUNCTION("IMPORTRANGE(""https://docs.google.com/spreadsheets/d/11923uPwbBZFjjGgGUA6NLw09EwE0CqkOc4q9oUmW1yo/edit?usp=sharing"",""สุโขทัย!I74"")"),4)</f>
        <v>4</v>
      </c>
      <c r="J149" s="275">
        <f ca="1">IFERROR(__xludf.DUMMYFUNCTION("IMPORTRANGE(""https://docs.google.com/spreadsheets/d/11923uPwbBZFjjGgGUA6NLw09EwE0CqkOc4q9oUmW1yo/edit?usp=sharing"",""สุโขทัย!J74"")"),2)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IFERROR(__xludf.DUMMYFUNCTION("IMPORTRANGE(""https://docs.google.com/spreadsheets/d/11923uPwbBZFjjGgGUA6NLw09EwE0CqkOc4q9oUmW1yo/edit?usp=sharing"",""สุโขทัย!J79"")"),0)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IFERROR(__xludf.DUMMYFUNCTION("IMPORTRANGE(""https://docs.google.com/spreadsheets/d/11923uPwbBZFjjGgGUA6NLw09EwE0CqkOc4q9oUmW1yo/edit?usp=sharing"",""สุโขทัย!J80"")"),1)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IFERROR(__xludf.DUMMYFUNCTION("IMPORTRANGE(""https://docs.google.com/spreadsheets/d/11923uPwbBZFjjGgGUA6NLw09EwE0CqkOc4q9oUmW1yo/edit?usp=sharing"",""สุโขทัย!J81"")"),1)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IFERROR(__xludf.DUMMYFUNCTION("IMPORTRANGE(""https://docs.google.com/spreadsheets/d/11923uPwbBZFjjGgGUA6NLw09EwE0CqkOc4q9oUmW1yo/edit?usp=sharing"",""สุโขทัย!J82"")"),1)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IFERROR(__xludf.DUMMYFUNCTION("IMPORTRANGE(""https://docs.google.com/spreadsheets/d/11923uPwbBZFjjGgGUA6NLw09EwE0CqkOc4q9oUmW1yo/edit?usp=sharing"",""สุโขทัย!I83"")"),4)</f>
        <v>4</v>
      </c>
      <c r="J158" s="188">
        <f ca="1">IFERROR(__xludf.DUMMYFUNCTION("IMPORTRANGE(""https://docs.google.com/spreadsheets/d/11923uPwbBZFjjGgGUA6NLw09EwE0CqkOc4q9oUmW1yo/edit?usp=sharing"",""สุโขทัย!J83"")"),2)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IFERROR(__xludf.DUMMYFUNCTION("IMPORTRANGE(""https://docs.google.com/spreadsheets/d/11923uPwbBZFjjGgGUA6NLw09EwE0CqkOc4q9oUmW1yo/edit?usp=sharing"",""สุโขทัย!J84"")"),81)</f>
        <v>81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IFERROR(__xludf.DUMMYFUNCTION("IMPORTRANGE(""https://docs.google.com/spreadsheets/d/11923uPwbBZFjjGgGUA6NLw09EwE0CqkOc4q9oUmW1yo/edit?usp=sharing"",""สุโขทัย!J85"")"),81)</f>
        <v>81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IFERROR(__xludf.DUMMYFUNCTION("IMPORTRANGE(""https://docs.google.com/spreadsheets/d/11923uPwbBZFjjGgGUA6NLw09EwE0CqkOc4q9oUmW1yo/edit?usp=sharing"",""สุโขทัย!J86"")"),0)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IFERROR(__xludf.DUMMYFUNCTION("IMPORTRANGE(""https://docs.google.com/spreadsheets/d/11923uPwbBZFjjGgGUA6NLw09EwE0CqkOc4q9oUmW1yo/edit?usp=sharing"",""สุโขทัย!J87"")"),0)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IFERROR(__xludf.DUMMYFUNCTION("IMPORTRANGE(""https://docs.google.com/spreadsheets/d/11923uPwbBZFjjGgGUA6NLw09EwE0CqkOc4q9oUmW1yo/edit?usp=sharing"",""สุโขทัย!J88"")"),0)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IFERROR(__xludf.DUMMYFUNCTION("IMPORTRANGE(""https://docs.google.com/spreadsheets/d/11923uPwbBZFjjGgGUA6NLw09EwE0CqkOc4q9oUmW1yo/edit?usp=sharing"",""สุโขทัย!I89"")"),4)</f>
        <v>4</v>
      </c>
      <c r="J164" s="284">
        <f ca="1">IFERROR(__xludf.DUMMYFUNCTION("IMPORTRANGE(""https://docs.google.com/spreadsheets/d/11923uPwbBZFjjGgGUA6NLw09EwE0CqkOc4q9oUmW1yo/edit?usp=sharing"",""สุโขทัย!J89"")"),4)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IFERROR(__xludf.DUMMYFUNCTION("IMPORTRANGE(""https://docs.google.com/spreadsheets/d/11923uPwbBZFjjGgGUA6NLw09EwE0CqkOc4q9oUmW1yo/edit?usp=sharing"",""สุโขทัย!J94"")"),0)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IFERROR(__xludf.DUMMYFUNCTION("IMPORTRANGE(""https://docs.google.com/spreadsheets/d/11923uPwbBZFjjGgGUA6NLw09EwE0CqkOc4q9oUmW1yo/edit?usp=sharing"",""สุโขทัย!J95"")"),1)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IFERROR(__xludf.DUMMYFUNCTION("IMPORTRANGE(""https://docs.google.com/spreadsheets/d/11923uPwbBZFjjGgGUA6NLw09EwE0CqkOc4q9oUmW1yo/edit?usp=sharing"",""สุโขทัย!J96"")"),1)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IFERROR(__xludf.DUMMYFUNCTION("IMPORTRANGE(""https://docs.google.com/spreadsheets/d/11923uPwbBZFjjGgGUA6NLw09EwE0CqkOc4q9oUmW1yo/edit?usp=sharing"",""สุโขทัย!J97"")"),1)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IFERROR(__xludf.DUMMYFUNCTION("IMPORTRANGE(""https://docs.google.com/spreadsheets/d/11923uPwbBZFjjGgGUA6NLw09EwE0CqkOc4q9oUmW1yo/edit?usp=sharing"",""สุโขทัย!I98"")"),4)</f>
        <v>4</v>
      </c>
      <c r="J173" s="188">
        <f ca="1">IFERROR(__xludf.DUMMYFUNCTION("IMPORTRANGE(""https://docs.google.com/spreadsheets/d/11923uPwbBZFjjGgGUA6NLw09EwE0CqkOc4q9oUmW1yo/edit?usp=sharing"",""สุโขทัย!J98"")"),4)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IFERROR(__xludf.DUMMYFUNCTION("IMPORTRANGE(""https://docs.google.com/spreadsheets/d/11923uPwbBZFjjGgGUA6NLw09EwE0CqkOc4q9oUmW1yo/edit?usp=sharing"",""สุโขทัย!J99"")"),0)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IFERROR(__xludf.DUMMYFUNCTION("IMPORTRANGE(""https://docs.google.com/spreadsheets/d/11923uPwbBZFjjGgGUA6NLw09EwE0CqkOc4q9oUmW1yo/edit?usp=sharing"",""สุโขทัย!J100"")"),0)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IFERROR(__xludf.DUMMYFUNCTION("IMPORTRANGE(""https://docs.google.com/spreadsheets/d/11923uPwbBZFjjGgGUA6NLw09EwE0CqkOc4q9oUmW1yo/edit?usp=sharing"",""สุโขทัย!I101"")"),0)</f>
        <v>0</v>
      </c>
      <c r="J176" s="284">
        <f ca="1">IFERROR(__xludf.DUMMYFUNCTION("IMPORTRANGE(""https://docs.google.com/spreadsheets/d/11923uPwbBZFjjGgGUA6NLw09EwE0CqkOc4q9oUmW1yo/edit?usp=sharing"",""สุโขทัย!J101"")"),0)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IFERROR(__xludf.DUMMYFUNCTION("IMPORTRANGE(""https://docs.google.com/spreadsheets/d/11923uPwbBZFjjGgGUA6NLw09EwE0CqkOc4q9oUmW1yo/edit?usp=sharing"",""สุโขทัย!J106"")"),0)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IFERROR(__xludf.DUMMYFUNCTION("IMPORTRANGE(""https://docs.google.com/spreadsheets/d/11923uPwbBZFjjGgGUA6NLw09EwE0CqkOc4q9oUmW1yo/edit?usp=sharing"",""สุโขทัย!J107"")"),0)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IFERROR(__xludf.DUMMYFUNCTION("IMPORTRANGE(""https://docs.google.com/spreadsheets/d/11923uPwbBZFjjGgGUA6NLw09EwE0CqkOc4q9oUmW1yo/edit?usp=sharing"",""สุโขทัย!J108"")"),0)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IFERROR(__xludf.DUMMYFUNCTION("IMPORTRANGE(""https://docs.google.com/spreadsheets/d/11923uPwbBZFjjGgGUA6NLw09EwE0CqkOc4q9oUmW1yo/edit?usp=sharing"",""สุโขทัย!J109"")"),0)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IFERROR(__xludf.DUMMYFUNCTION("IMPORTRANGE(""https://docs.google.com/spreadsheets/d/11923uPwbBZFjjGgGUA6NLw09EwE0CqkOc4q9oUmW1yo/edit?usp=sharing"",""สุโขทัย!I110"")"),0)</f>
        <v>0</v>
      </c>
      <c r="J185" s="203">
        <f ca="1">IFERROR(__xludf.DUMMYFUNCTION("IMPORTRANGE(""https://docs.google.com/spreadsheets/d/11923uPwbBZFjjGgGUA6NLw09EwE0CqkOc4q9oUmW1yo/edit?usp=sharing"",""สุโขทัย!J110"")"),0)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IFERROR(__xludf.DUMMYFUNCTION("IMPORTRANGE(""https://docs.google.com/spreadsheets/d/11923uPwbBZFjjGgGUA6NLw09EwE0CqkOc4q9oUmW1yo/edit?usp=sharing"",""สุโขทัย!I111"")"),0)</f>
        <v>0</v>
      </c>
      <c r="J186" s="203">
        <f ca="1">IFERROR(__xludf.DUMMYFUNCTION("IMPORTRANGE(""https://docs.google.com/spreadsheets/d/11923uPwbBZFjjGgGUA6NLw09EwE0CqkOc4q9oUmW1yo/edit?usp=sharing"",""สุโขทัย!J111"")"),0)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IFERROR(__xludf.DUMMYFUNCTION("IMPORTRANGE(""https://docs.google.com/spreadsheets/d/11923uPwbBZFjjGgGUA6NLw09EwE0CqkOc4q9oUmW1yo/edit?usp=sharing"",""สุโขทัย!J112"")"),0)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IFERROR(__xludf.DUMMYFUNCTION("IMPORTRANGE(""https://docs.google.com/spreadsheets/d/11923uPwbBZFjjGgGUA6NLw09EwE0CqkOc4q9oUmW1yo/edit?usp=sharing"",""สุโขทัย!J113"")"),0)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IFERROR(__xludf.DUMMYFUNCTION("IMPORTRANGE(""https://docs.google.com/spreadsheets/d/11923uPwbBZFjjGgGUA6NLw09EwE0CqkOc4q9oUmW1yo/edit?usp=sharing"",""สุโขทัย!I114"")"),50000)</f>
        <v>50000</v>
      </c>
      <c r="J189" s="284">
        <f ca="1">IFERROR(__xludf.DUMMYFUNCTION("IMPORTRANGE(""https://docs.google.com/spreadsheets/d/11923uPwbBZFjjGgGUA6NLw09EwE0CqkOc4q9oUmW1yo/edit?usp=sharing"",""สุโขทัย!J114"")"),50000)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IFERROR(__xludf.DUMMYFUNCTION("IMPORTRANGE(""https://docs.google.com/spreadsheets/d/11923uPwbBZFjjGgGUA6NLw09EwE0CqkOc4q9oUmW1yo/edit?usp=sharing"",""สุโขทัย!J119"")"),0)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IFERROR(__xludf.DUMMYFUNCTION("IMPORTRANGE(""https://docs.google.com/spreadsheets/d/11923uPwbBZFjjGgGUA6NLw09EwE0CqkOc4q9oUmW1yo/edit?usp=sharing"",""สุโขทัย!J120"")"),1)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IFERROR(__xludf.DUMMYFUNCTION("IMPORTRANGE(""https://docs.google.com/spreadsheets/d/11923uPwbBZFjjGgGUA6NLw09EwE0CqkOc4q9oUmW1yo/edit?usp=sharing"",""สุโขทัย!J121"")"),1)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IFERROR(__xludf.DUMMYFUNCTION("IMPORTRANGE(""https://docs.google.com/spreadsheets/d/11923uPwbBZFjjGgGUA6NLw09EwE0CqkOc4q9oUmW1yo/edit?usp=sharing"",""สุโขทัย!J122"")"),0)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IFERROR(__xludf.DUMMYFUNCTION("IMPORTRANGE(""https://docs.google.com/spreadsheets/d/11923uPwbBZFjjGgGUA6NLw09EwE0CqkOc4q9oUmW1yo/edit?usp=sharing"",""สุโขทัย!I124"")"),50000)</f>
        <v>50000</v>
      </c>
      <c r="J199" s="188">
        <f ca="1">IFERROR(__xludf.DUMMYFUNCTION("IMPORTRANGE(""https://docs.google.com/spreadsheets/d/11923uPwbBZFjjGgGUA6NLw09EwE0CqkOc4q9oUmW1yo/edit?usp=sharing"",""สุโขทัย!J124"")"),50000)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IFERROR(__xludf.DUMMYFUNCTION("IMPORTRANGE(""https://docs.google.com/spreadsheets/d/11923uPwbBZFjjGgGUA6NLw09EwE0CqkOc4q9oUmW1yo/edit?usp=sharing"",""สุโขทัย!I125"")"),50000)</f>
        <v>50000</v>
      </c>
      <c r="J200" s="188">
        <f ca="1">IFERROR(__xludf.DUMMYFUNCTION("IMPORTRANGE(""https://docs.google.com/spreadsheets/d/11923uPwbBZFjjGgGUA6NLw09EwE0CqkOc4q9oUmW1yo/edit?usp=sharing"",""สุโขทัย!J125"")"),50000)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IFERROR(__xludf.DUMMYFUNCTION("IMPORTRANGE(""https://docs.google.com/spreadsheets/d/11923uPwbBZFjjGgGUA6NLw09EwE0CqkOc4q9oUmW1yo/edit?usp=sharing"",""สุโขทัย!I126"")"),0)</f>
        <v>0</v>
      </c>
      <c r="J201" s="188">
        <f ca="1">IFERROR(__xludf.DUMMYFUNCTION("IMPORTRANGE(""https://docs.google.com/spreadsheets/d/11923uPwbBZFjjGgGUA6NLw09EwE0CqkOc4q9oUmW1yo/edit?usp=sharing"",""สุโขทัย!J126"")"),0)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IFERROR(__xludf.DUMMYFUNCTION("IMPORTRANGE(""https://docs.google.com/spreadsheets/d/11923uPwbBZFjjGgGUA6NLw09EwE0CqkOc4q9oUmW1yo/edit?usp=sharing"",""สุโขทัย!J127"")"),0)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IFERROR(__xludf.DUMMYFUNCTION("IMPORTRANGE(""https://docs.google.com/spreadsheets/d/11923uPwbBZFjjGgGUA6NLw09EwE0CqkOc4q9oUmW1yo/edit?usp=sharing"",""สุโขทัย!J128"")"),0)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IFERROR(__xludf.DUMMYFUNCTION("IMPORTRANGE(""https://docs.google.com/spreadsheets/d/11923uPwbBZFjjGgGUA6NLw09EwE0CqkOc4q9oUmW1yo/edit?usp=sharing"",""สุโขทัย!I129"")"),0)</f>
        <v>0</v>
      </c>
      <c r="J204" s="284">
        <f ca="1">IFERROR(__xludf.DUMMYFUNCTION("IMPORTRANGE(""https://docs.google.com/spreadsheets/d/11923uPwbBZFjjGgGUA6NLw09EwE0CqkOc4q9oUmW1yo/edit?usp=sharing"",""สุโขทัย!J129"")"),0)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IFERROR(__xludf.DUMMYFUNCTION("IMPORTRANGE(""https://docs.google.com/spreadsheets/d/11923uPwbBZFjjGgGUA6NLw09EwE0CqkOc4q9oUmW1yo/edit?usp=sharing"",""สุโขทัย!J134"")"),0)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IFERROR(__xludf.DUMMYFUNCTION("IMPORTRANGE(""https://docs.google.com/spreadsheets/d/11923uPwbBZFjjGgGUA6NLw09EwE0CqkOc4q9oUmW1yo/edit?usp=sharing"",""สุโขทัย!J135"")"),0)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IFERROR(__xludf.DUMMYFUNCTION("IMPORTRANGE(""https://docs.google.com/spreadsheets/d/11923uPwbBZFjjGgGUA6NLw09EwE0CqkOc4q9oUmW1yo/edit?usp=sharing"",""สุโขทัย!J136"")"),0)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IFERROR(__xludf.DUMMYFUNCTION("IMPORTRANGE(""https://docs.google.com/spreadsheets/d/11923uPwbBZFjjGgGUA6NLw09EwE0CqkOc4q9oUmW1yo/edit?usp=sharing"",""สุโขทัย!J137"")"),0)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IFERROR(__xludf.DUMMYFUNCTION("IMPORTRANGE(""https://docs.google.com/spreadsheets/d/11923uPwbBZFjjGgGUA6NLw09EwE0CqkOc4q9oUmW1yo/edit?usp=sharing"",""สุโขทัย!I138"")"),0)</f>
        <v>0</v>
      </c>
      <c r="J213" s="203">
        <f ca="1">IFERROR(__xludf.DUMMYFUNCTION("IMPORTRANGE(""https://docs.google.com/spreadsheets/d/11923uPwbBZFjjGgGUA6NLw09EwE0CqkOc4q9oUmW1yo/edit?usp=sharing"",""สุโขทัย!J138"")"),0)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IFERROR(__xludf.DUMMYFUNCTION("IMPORTRANGE(""https://docs.google.com/spreadsheets/d/11923uPwbBZFjjGgGUA6NLw09EwE0CqkOc4q9oUmW1yo/edit?usp=sharing"",""สุโขทัย!I140"")"),0)</f>
        <v>0</v>
      </c>
      <c r="J215" s="203">
        <f ca="1">IFERROR(__xludf.DUMMYFUNCTION("IMPORTRANGE(""https://docs.google.com/spreadsheets/d/11923uPwbBZFjjGgGUA6NLw09EwE0CqkOc4q9oUmW1yo/edit?usp=sharing"",""สุโขทัย!J140"")"),0)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IFERROR(__xludf.DUMMYFUNCTION("IMPORTRANGE(""https://docs.google.com/spreadsheets/d/11923uPwbBZFjjGgGUA6NLw09EwE0CqkOc4q9oUmW1yo/edit?usp=sharing"",""สุโขทัย!I141"")"),0)</f>
        <v>0</v>
      </c>
      <c r="J216" s="203">
        <f ca="1">IFERROR(__xludf.DUMMYFUNCTION("IMPORTRANGE(""https://docs.google.com/spreadsheets/d/11923uPwbBZFjjGgGUA6NLw09EwE0CqkOc4q9oUmW1yo/edit?usp=sharing"",""สุโขทัย!J141"")"),0)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IFERROR(__xludf.DUMMYFUNCTION("IMPORTRANGE(""https://docs.google.com/spreadsheets/d/11923uPwbBZFjjGgGUA6NLw09EwE0CqkOc4q9oUmW1yo/edit?usp=sharing"",""สุโขทัย!J142"")"),0)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IFERROR(__xludf.DUMMYFUNCTION("IMPORTRANGE(""https://docs.google.com/spreadsheets/d/11923uPwbBZFjjGgGUA6NLw09EwE0CqkOc4q9oUmW1yo/edit?usp=sharing"",""สุโขทัย!J143"")"),0)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IFERROR(__xludf.DUMMYFUNCTION("IMPORTRANGE(""https://docs.google.com/spreadsheets/d/11923uPwbBZFjjGgGUA6NLw09EwE0CqkOc4q9oUmW1yo/edit?usp=sharing"",""สุโขทัย!I144"")"),13)</f>
        <v>13</v>
      </c>
      <c r="J219" s="267">
        <f ca="1">IFERROR(__xludf.DUMMYFUNCTION("IMPORTRANGE(""https://docs.google.com/spreadsheets/d/11923uPwbBZFjjGgGUA6NLw09EwE0CqkOc4q9oUmW1yo/edit?usp=sharing"",""สุโขทัย!J144"")"),13)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17775</v>
      </c>
      <c r="O220" s="151">
        <f t="shared" ref="O220:O222" ca="1" si="73">IF(L220&gt;0,N220*100/L220,0)</f>
        <v>92.122311479657938</v>
      </c>
      <c r="P220" s="151">
        <f t="shared" ref="P220:P222" ca="1" si="74">IF(M220&gt;0,N220*100/M220,0)</f>
        <v>92.122311479657938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19295</v>
      </c>
      <c r="N222" s="88">
        <f t="shared" ca="1" si="76"/>
        <v>17775</v>
      </c>
      <c r="O222" s="156">
        <f t="shared" ca="1" si="73"/>
        <v>92.122311479657938</v>
      </c>
      <c r="P222" s="156">
        <f t="shared" ca="1" si="74"/>
        <v>92.122311479657938</v>
      </c>
    </row>
    <row r="223" spans="1:16" ht="21.75" customHeight="1" x14ac:dyDescent="0.45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IFERROR(__xludf.DUMMYFUNCTION("IMPORTRANGE(""https://docs.google.com/spreadsheets/d/1Yj_ptqi66GCucihVvJfMjLAmec39IyEx_6qawtMGysU/edit?usp=sharing"",""สบก!BS34"")"),19295)</f>
        <v>19295</v>
      </c>
      <c r="N224" s="168">
        <f ca="1">IFERROR(__xludf.DUMMYFUNCTION("IMPORTRANGE(""https://docs.google.com/spreadsheets/d/1Yj_ptqi66GCucihVvJfMjLAmec39IyEx_6qawtMGysU/edit?usp=sharing"",""สบก!BT34"")"),17775)</f>
        <v>17775</v>
      </c>
      <c r="O224" s="168">
        <f ca="1">IF(L224&gt;0,N224*100/L224,0)</f>
        <v>92.122311479657938</v>
      </c>
      <c r="P224" s="168">
        <f ca="1">IF(M224&gt;0,N224*100/M224,0)</f>
        <v>92.122311479657938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IFERROR(__xludf.DUMMYFUNCTION("IMPORTRANGE(""https://docs.google.com/spreadsheets/d/1Yj_ptqi66GCucihVvJfMjLAmec39IyEx_6qawtMGysU/edit?usp=sharing"",""สบก!BO34"")"),0)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IFERROR(__xludf.DUMMYFUNCTION("IMPORTRANGE(""https://docs.google.com/spreadsheets/d/1Yj_ptqi66GCucihVvJfMjLAmec39IyEx_6qawtMGysU/edit?usp=sharing"",""สบก!BP34"")"),19295)</f>
        <v>19295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IFERROR(__xludf.DUMMYFUNCTION("IMPORTRANGE(""https://docs.google.com/spreadsheets/d/1Yj_ptqi66GCucihVvJfMjLAmec39IyEx_6qawtMGysU/edit?usp=sharing"",""สบก!BQ34"")"),0)</f>
        <v>0</v>
      </c>
      <c r="M228" s="50"/>
      <c r="N228" s="50">
        <f ca="1">IFERROR(__xludf.DUMMYFUNCTION("IMPORTRANGE(""https://docs.google.com/spreadsheets/d/1Yj_ptqi66GCucihVvJfMjLAmec39IyEx_6qawtMGysU/edit?usp=sharing"",""สบก!BU34"")"),0)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IFERROR(__xludf.DUMMYFUNCTION("IMPORTRANGE(""https://docs.google.com/spreadsheets/d/11923uPwbBZFjjGgGUA6NLw09EwE0CqkOc4q9oUmW1yo/edit?usp=sharing"",""สุโขทัย!I149"")"),13)</f>
        <v>13</v>
      </c>
      <c r="J229" s="267">
        <f ca="1">IFERROR(__xludf.DUMMYFUNCTION("IMPORTRANGE(""https://docs.google.com/spreadsheets/d/11923uPwbBZFjjGgGUA6NLw09EwE0CqkOc4q9oUmW1yo/edit?usp=sharing"",""สุโขทัย!J149"")"),13)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IFERROR(__xludf.DUMMYFUNCTION("IMPORTRANGE(""https://docs.google.com/spreadsheets/d/11923uPwbBZFjjGgGUA6NLw09EwE0CqkOc4q9oUmW1yo/edit?usp=sharing"",""สุโขทัย!J151"")"),0)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IFERROR(__xludf.DUMMYFUNCTION("IMPORTRANGE(""https://docs.google.com/spreadsheets/d/11923uPwbBZFjjGgGUA6NLw09EwE0CqkOc4q9oUmW1yo/edit?usp=sharing"",""สุโขทัย!J152"")"),1)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IFERROR(__xludf.DUMMYFUNCTION("IMPORTRANGE(""https://docs.google.com/spreadsheets/d/11923uPwbBZFjjGgGUA6NLw09EwE0CqkOc4q9oUmW1yo/edit?usp=sharing"",""สุโขทัย!J153"")"),1)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IFERROR(__xludf.DUMMYFUNCTION("IMPORTRANGE(""https://docs.google.com/spreadsheets/d/11923uPwbBZFjjGgGUA6NLw09EwE0CqkOc4q9oUmW1yo/edit?usp=sharing"",""สุโขทัย!J154"")"),1)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IFERROR(__xludf.DUMMYFUNCTION("IMPORTRANGE(""https://docs.google.com/spreadsheets/d/11923uPwbBZFjjGgGUA6NLw09EwE0CqkOc4q9oUmW1yo/edit?usp=sharing"",""สุโขทัย!I155"")"),13)</f>
        <v>13</v>
      </c>
      <c r="J235" s="188">
        <f ca="1">IFERROR(__xludf.DUMMYFUNCTION("IMPORTRANGE(""https://docs.google.com/spreadsheets/d/11923uPwbBZFjjGgGUA6NLw09EwE0CqkOc4q9oUmW1yo/edit?usp=sharing"",""สุโขทัย!J155"")"),13)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IFERROR(__xludf.DUMMYFUNCTION("IMPORTRANGE(""https://docs.google.com/spreadsheets/d/11923uPwbBZFjjGgGUA6NLw09EwE0CqkOc4q9oUmW1yo/edit?usp=sharing"",""สุโขทัย!J156"")"),0)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IFERROR(__xludf.DUMMYFUNCTION("IMPORTRANGE(""https://docs.google.com/spreadsheets/d/11923uPwbBZFjjGgGUA6NLw09EwE0CqkOc4q9oUmW1yo/edit?usp=sharing"",""สุโขทัย!J157"")"),0)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IFERROR(__xludf.DUMMYFUNCTION("IMPORTRANGE(""https://docs.google.com/spreadsheets/d/11923uPwbBZFjjGgGUA6NLw09EwE0CqkOc4q9oUmW1yo/edit?usp=sharing"",""สุโขทัย!I158"")"),0)</f>
        <v>0</v>
      </c>
      <c r="J238" s="267">
        <f ca="1">IFERROR(__xludf.DUMMYFUNCTION("IMPORTRANGE(""https://docs.google.com/spreadsheets/d/11923uPwbBZFjjGgGUA6NLw09EwE0CqkOc4q9oUmW1yo/edit?usp=sharing"",""สุโขทัย!J158"")"),0)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IFERROR(__xludf.DUMMYFUNCTION("IMPORTRANGE(""https://docs.google.com/spreadsheets/d/11923uPwbBZFjjGgGUA6NLw09EwE0CqkOc4q9oUmW1yo/edit?usp=sharing"",""สุโขทัย!J159"")"),"")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IFERROR(__xludf.DUMMYFUNCTION("IMPORTRANGE(""https://docs.google.com/spreadsheets/d/11923uPwbBZFjjGgGUA6NLw09EwE0CqkOc4q9oUmW1yo/edit?usp=sharing"",""สุโขทัย!J161"")"),0)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IFERROR(__xludf.DUMMYFUNCTION("IMPORTRANGE(""https://docs.google.com/spreadsheets/d/11923uPwbBZFjjGgGUA6NLw09EwE0CqkOc4q9oUmW1yo/edit?usp=sharing"",""สุโขทัย!J162"")"),0)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IFERROR(__xludf.DUMMYFUNCTION("IMPORTRANGE(""https://docs.google.com/spreadsheets/d/11923uPwbBZFjjGgGUA6NLw09EwE0CqkOc4q9oUmW1yo/edit?usp=sharing"",""สุโขทัย!J163"")"),0)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IFERROR(__xludf.DUMMYFUNCTION("IMPORTRANGE(""https://docs.google.com/spreadsheets/d/11923uPwbBZFjjGgGUA6NLw09EwE0CqkOc4q9oUmW1yo/edit?usp=sharing"",""สุโขทัย!I164"")"),0)</f>
        <v>0</v>
      </c>
      <c r="J244" s="187">
        <f ca="1">IFERROR(__xludf.DUMMYFUNCTION("IMPORTRANGE(""https://docs.google.com/spreadsheets/d/11923uPwbBZFjjGgGUA6NLw09EwE0CqkOc4q9oUmW1yo/edit?usp=sharing"",""สุโขทัย!J164"")"),0)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IFERROR(__xludf.DUMMYFUNCTION("IMPORTRANGE(""https://docs.google.com/spreadsheets/d/11923uPwbBZFjjGgGUA6NLw09EwE0CqkOc4q9oUmW1yo/edit?usp=sharing"",""สุโขทัย!J165"")"),0)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IFERROR(__xludf.DUMMYFUNCTION("IMPORTRANGE(""https://docs.google.com/spreadsheets/d/11923uPwbBZFjjGgGUA6NLw09EwE0CqkOc4q9oUmW1yo/edit?usp=sharing"",""สุโขทัย!J166"")"),0)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IFERROR(__xludf.DUMMYFUNCTION("IMPORTRANGE(""https://docs.google.com/spreadsheets/d/11923uPwbBZFjjGgGUA6NLw09EwE0CqkOc4q9oUmW1yo/edit?usp=sharing"",""สุโขทัย!I169"")"),0)</f>
        <v>0</v>
      </c>
      <c r="J249" s="316">
        <f ca="1">IFERROR(__xludf.DUMMYFUNCTION("IMPORTRANGE(""https://docs.google.com/spreadsheets/d/11923uPwbBZFjjGgGUA6NLw09EwE0CqkOc4q9oUmW1yo/edit?usp=sharing"",""สุโขทัย!J169"")"),0)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IFERROR(__xludf.DUMMYFUNCTION("IMPORTRANGE(""https://docs.google.com/spreadsheets/d/1Yj_ptqi66GCucihVvJfMjLAmec39IyEx_6qawtMGysU/edit?usp=sharing"",""สบก!CB34"")"),0)</f>
        <v>0</v>
      </c>
      <c r="N254" s="168">
        <f ca="1">IFERROR(__xludf.DUMMYFUNCTION("IMPORTRANGE(""https://docs.google.com/spreadsheets/d/1Yj_ptqi66GCucihVvJfMjLAmec39IyEx_6qawtMGysU/edit?usp=sharing"",""สบก!CC34"")"),0)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IFERROR(__xludf.DUMMYFUNCTION("IMPORTRANGE(""https://docs.google.com/spreadsheets/d/1Yj_ptqi66GCucihVvJfMjLAmec39IyEx_6qawtMGysU/edit?usp=sharing"",""สบก!BX34"")"),0)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IFERROR(__xludf.DUMMYFUNCTION("IMPORTRANGE(""https://docs.google.com/spreadsheets/d/1Yj_ptqi66GCucihVvJfMjLAmec39IyEx_6qawtMGysU/edit?usp=sharing"",""สบก!BY34"")"),0)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IFERROR(__xludf.DUMMYFUNCTION("IMPORTRANGE(""https://docs.google.com/spreadsheets/d/1Yj_ptqi66GCucihVvJfMjLAmec39IyEx_6qawtMGysU/edit?usp=sharing"",""สบก!BZ34"")"),0)</f>
        <v>0</v>
      </c>
      <c r="M258" s="50"/>
      <c r="N258" s="50">
        <f ca="1">IFERROR(__xludf.DUMMYFUNCTION("IMPORTRANGE(""https://docs.google.com/spreadsheets/d/1Yj_ptqi66GCucihVvJfMjLAmec39IyEx_6qawtMGysU/edit?usp=sharing"",""สบก!CD34"")"),0)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IFERROR(__xludf.DUMMYFUNCTION("IMPORTRANGE(""https://docs.google.com/spreadsheets/d/11923uPwbBZFjjGgGUA6NLw09EwE0CqkOc4q9oUmW1yo/edit?usp=sharing"",""สุโขทัย!J175"")"),0)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IFERROR(__xludf.DUMMYFUNCTION("IMPORTRANGE(""https://docs.google.com/spreadsheets/d/11923uPwbBZFjjGgGUA6NLw09EwE0CqkOc4q9oUmW1yo/edit?usp=sharing"",""สุโขทัย!J176"")"),0)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IFERROR(__xludf.DUMMYFUNCTION("IMPORTRANGE(""https://docs.google.com/spreadsheets/d/11923uPwbBZFjjGgGUA6NLw09EwE0CqkOc4q9oUmW1yo/edit?usp=sharing"",""สุโขทัย!J177"")"),0)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IFERROR(__xludf.DUMMYFUNCTION("IMPORTRANGE(""https://docs.google.com/spreadsheets/d/11923uPwbBZFjjGgGUA6NLw09EwE0CqkOc4q9oUmW1yo/edit?usp=sharing"",""สุโขทัย!J178"")"),0)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IFERROR(__xludf.DUMMYFUNCTION("IMPORTRANGE(""https://docs.google.com/spreadsheets/d/11923uPwbBZFjjGgGUA6NLw09EwE0CqkOc4q9oUmW1yo/edit?usp=sharing"",""สุโขทัย!I179"")"),0)</f>
        <v>0</v>
      </c>
      <c r="J264" s="188">
        <f ca="1">IFERROR(__xludf.DUMMYFUNCTION("IMPORTRANGE(""https://docs.google.com/spreadsheets/d/11923uPwbBZFjjGgGUA6NLw09EwE0CqkOc4q9oUmW1yo/edit?usp=sharing"",""สุโขทัย!J179"")"),0)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IFERROR(__xludf.DUMMYFUNCTION("IMPORTRANGE(""https://docs.google.com/spreadsheets/d/11923uPwbBZFjjGgGUA6NLw09EwE0CqkOc4q9oUmW1yo/edit?usp=sharing"",""สุโขทัย!I180"")"),0)</f>
        <v>0</v>
      </c>
      <c r="J265" s="188">
        <f ca="1">IFERROR(__xludf.DUMMYFUNCTION("IMPORTRANGE(""https://docs.google.com/spreadsheets/d/11923uPwbBZFjjGgGUA6NLw09EwE0CqkOc4q9oUmW1yo/edit?usp=sharing"",""สุโขทัย!J180"")"),0)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IFERROR(__xludf.DUMMYFUNCTION("IMPORTRANGE(""https://docs.google.com/spreadsheets/d/11923uPwbBZFjjGgGUA6NLw09EwE0CqkOc4q9oUmW1yo/edit?usp=sharing"",""สุโขทัย!I181"")"),0)</f>
        <v>0</v>
      </c>
      <c r="J266" s="188">
        <f ca="1">IFERROR(__xludf.DUMMYFUNCTION("IMPORTRANGE(""https://docs.google.com/spreadsheets/d/11923uPwbBZFjjGgGUA6NLw09EwE0CqkOc4q9oUmW1yo/edit?usp=sharing"",""สุโขทัย!J181"")"),0)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IFERROR(__xludf.DUMMYFUNCTION("IMPORTRANGE(""https://docs.google.com/spreadsheets/d/11923uPwbBZFjjGgGUA6NLw09EwE0CqkOc4q9oUmW1yo/edit?usp=sharing"",""สุโขทัย!I182"")"),0)</f>
        <v>0</v>
      </c>
      <c r="J267" s="188">
        <f ca="1">IFERROR(__xludf.DUMMYFUNCTION("IMPORTRANGE(""https://docs.google.com/spreadsheets/d/11923uPwbBZFjjGgGUA6NLw09EwE0CqkOc4q9oUmW1yo/edit?usp=sharing"",""สุโขทัย!J182"")"),0)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IFERROR(__xludf.DUMMYFUNCTION("IMPORTRANGE(""https://docs.google.com/spreadsheets/d/11923uPwbBZFjjGgGUA6NLw09EwE0CqkOc4q9oUmW1yo/edit?usp=sharing"",""สุโขทัย!J183"")"),0)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IFERROR(__xludf.DUMMYFUNCTION("IMPORTRANGE(""https://docs.google.com/spreadsheets/d/11923uPwbBZFjjGgGUA6NLw09EwE0CqkOc4q9oUmW1yo/edit?usp=sharing"",""สุโขทัย!J184"")"),0)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IFERROR(__xludf.DUMMYFUNCTION("IMPORTRANGE(""https://docs.google.com/spreadsheets/d/11923uPwbBZFjjGgGUA6NLw09EwE0CqkOc4q9oUmW1yo/edit?usp=sharing"",""สุโขทัย!I185"")"),15)</f>
        <v>15</v>
      </c>
      <c r="J270" s="316">
        <f ca="1">IFERROR(__xludf.DUMMYFUNCTION("IMPORTRANGE(""https://docs.google.com/spreadsheets/d/11923uPwbBZFjjGgGUA6NLw09EwE0CqkOc4q9oUmW1yo/edit?usp=sharing"",""สุโขทัย!J185"")"),15)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237700</v>
      </c>
      <c r="M271" s="152">
        <f t="shared" ca="1" si="83"/>
        <v>179000</v>
      </c>
      <c r="N271" s="152">
        <f t="shared" ca="1" si="83"/>
        <v>122115.48</v>
      </c>
      <c r="O271" s="151">
        <f t="shared" ref="O271:O273" ca="1" si="84">IF(L271&gt;0,N271*100/L271,0)</f>
        <v>51.373782078249896</v>
      </c>
      <c r="P271" s="151">
        <f t="shared" ref="P271:P273" ca="1" si="85">IF(M271&gt;0,N271*100/M271,0)</f>
        <v>68.220938547486028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237700</v>
      </c>
      <c r="M273" s="88">
        <f t="shared" ca="1" si="87"/>
        <v>179000</v>
      </c>
      <c r="N273" s="88">
        <f t="shared" ca="1" si="87"/>
        <v>122115.48</v>
      </c>
      <c r="O273" s="156">
        <f t="shared" ca="1" si="84"/>
        <v>51.373782078249896</v>
      </c>
      <c r="P273" s="156">
        <f t="shared" ca="1" si="85"/>
        <v>68.220938547486028</v>
      </c>
    </row>
    <row r="274" spans="1:16" ht="21.75" customHeight="1" x14ac:dyDescent="0.45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237700</v>
      </c>
      <c r="M275" s="167">
        <f ca="1">IFERROR(__xludf.DUMMYFUNCTION("IMPORTRANGE(""https://docs.google.com/spreadsheets/d/1Yj_ptqi66GCucihVvJfMjLAmec39IyEx_6qawtMGysU/edit?usp=sharing"",""สบก!CK34"")"),179000)</f>
        <v>179000</v>
      </c>
      <c r="N275" s="168">
        <f ca="1">IFERROR(__xludf.DUMMYFUNCTION("IMPORTRANGE(""https://docs.google.com/spreadsheets/d/1Yj_ptqi66GCucihVvJfMjLAmec39IyEx_6qawtMGysU/edit?usp=sharing"",""สบก!CL34"")"),122115.48)</f>
        <v>122115.48</v>
      </c>
      <c r="O275" s="168">
        <f ca="1">IF(L275&gt;0,N275*100/L275,0)</f>
        <v>51.373782078249896</v>
      </c>
      <c r="P275" s="168">
        <f ca="1">IF(M275&gt;0,N275*100/M275,0)</f>
        <v>68.220938547486028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IFERROR(__xludf.DUMMYFUNCTION("IMPORTRANGE(""https://docs.google.com/spreadsheets/d/1Yj_ptqi66GCucihVvJfMjLAmec39IyEx_6qawtMGysU/edit?usp=sharing"",""สบก!CG34"")"),132000)</f>
        <v>132000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IFERROR(__xludf.DUMMYFUNCTION("IMPORTRANGE(""https://docs.google.com/spreadsheets/d/1Yj_ptqi66GCucihVvJfMjLAmec39IyEx_6qawtMGysU/edit?usp=sharing"",""สบก!CH34"")"),105700)</f>
        <v>105700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IFERROR(__xludf.DUMMYFUNCTION("IMPORTRANGE(""https://docs.google.com/spreadsheets/d/1Yj_ptqi66GCucihVvJfMjLAmec39IyEx_6qawtMGysU/edit?usp=sharing"",""สบก!CI34"")"),0)</f>
        <v>0</v>
      </c>
      <c r="M279" s="50"/>
      <c r="N279" s="50">
        <f ca="1">IFERROR(__xludf.DUMMYFUNCTION("IMPORTRANGE(""https://docs.google.com/spreadsheets/d/1Yj_ptqi66GCucihVvJfMjLAmec39IyEx_6qawtMGysU/edit?usp=sharing"",""สบก!CM34"")"),0)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IFERROR(__xludf.DUMMYFUNCTION("IMPORTRANGE(""https://docs.google.com/spreadsheets/d/11923uPwbBZFjjGgGUA6NLw09EwE0CqkOc4q9oUmW1yo/edit?usp=sharing"",""สุโขทัย!J191"")"),0)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IFERROR(__xludf.DUMMYFUNCTION("IMPORTRANGE(""https://docs.google.com/spreadsheets/d/11923uPwbBZFjjGgGUA6NLw09EwE0CqkOc4q9oUmW1yo/edit?usp=sharing"",""สุโขทัย!J192"")"),1)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IFERROR(__xludf.DUMMYFUNCTION("IMPORTRANGE(""https://docs.google.com/spreadsheets/d/11923uPwbBZFjjGgGUA6NLw09EwE0CqkOc4q9oUmW1yo/edit?usp=sharing"",""สุโขทัย!J193"")"),1)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IFERROR(__xludf.DUMMYFUNCTION("IMPORTRANGE(""https://docs.google.com/spreadsheets/d/11923uPwbBZFjjGgGUA6NLw09EwE0CqkOc4q9oUmW1yo/edit?usp=sharing"",""สุโขทัย!J194"")"),1)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IFERROR(__xludf.DUMMYFUNCTION("IMPORTRANGE(""https://docs.google.com/spreadsheets/d/11923uPwbBZFjjGgGUA6NLw09EwE0CqkOc4q9oUmW1yo/edit?usp=sharing"",""สุโขทัย!I195"")"),15)</f>
        <v>15</v>
      </c>
      <c r="J285" s="188">
        <f ca="1">IFERROR(__xludf.DUMMYFUNCTION("IMPORTRANGE(""https://docs.google.com/spreadsheets/d/11923uPwbBZFjjGgGUA6NLw09EwE0CqkOc4q9oUmW1yo/edit?usp=sharing"",""สุโขทัย!J195"")"),15)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IFERROR(__xludf.DUMMYFUNCTION("IMPORTRANGE(""https://docs.google.com/spreadsheets/d/11923uPwbBZFjjGgGUA6NLw09EwE0CqkOc4q9oUmW1yo/edit?usp=sharing"",""สุโขทัย!J196"")"),0)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IFERROR(__xludf.DUMMYFUNCTION("IMPORTRANGE(""https://docs.google.com/spreadsheets/d/11923uPwbBZFjjGgGUA6NLw09EwE0CqkOc4q9oUmW1yo/edit?usp=sharing"",""สุโขทัย!J197"")"),0)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IFERROR(__xludf.DUMMYFUNCTION("IMPORTRANGE(""https://docs.google.com/spreadsheets/d/11923uPwbBZFjjGgGUA6NLw09EwE0CqkOc4q9oUmW1yo/edit?usp=sharing"",""สุโขทัย!I199"")"),0)</f>
        <v>0</v>
      </c>
      <c r="J289" s="316">
        <f ca="1">IFERROR(__xludf.DUMMYFUNCTION("IMPORTRANGE(""https://docs.google.com/spreadsheets/d/11923uPwbBZFjjGgGUA6NLw09EwE0CqkOc4q9oUmW1yo/edit?usp=sharing"",""สุโขทัย!J199"")"),0)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IFERROR(__xludf.DUMMYFUNCTION("IMPORTRANGE(""https://docs.google.com/spreadsheets/d/1Yj_ptqi66GCucihVvJfMjLAmec39IyEx_6qawtMGysU/edit?usp=sharing"",""สบก!CT34"")"),0)</f>
        <v>0</v>
      </c>
      <c r="N294" s="168">
        <f ca="1">IFERROR(__xludf.DUMMYFUNCTION("IMPORTRANGE(""https://docs.google.com/spreadsheets/d/1Yj_ptqi66GCucihVvJfMjLAmec39IyEx_6qawtMGysU/edit?usp=sharing"",""สบก!CU34"")"),0)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IFERROR(__xludf.DUMMYFUNCTION("IMPORTRANGE(""https://docs.google.com/spreadsheets/d/1Yj_ptqi66GCucihVvJfMjLAmec39IyEx_6qawtMGysU/edit?usp=sharing"",""สบก!CP34"")"),0)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IFERROR(__xludf.DUMMYFUNCTION("IMPORTRANGE(""https://docs.google.com/spreadsheets/d/1Yj_ptqi66GCucihVvJfMjLAmec39IyEx_6qawtMGysU/edit?usp=sharing"",""สบก!CQ34"")"),0)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IFERROR(__xludf.DUMMYFUNCTION("IMPORTRANGE(""https://docs.google.com/spreadsheets/d/1Yj_ptqi66GCucihVvJfMjLAmec39IyEx_6qawtMGysU/edit?usp=sharing"",""สบก!CR34"")"),0)</f>
        <v>0</v>
      </c>
      <c r="M298" s="50"/>
      <c r="N298" s="50">
        <f ca="1">IFERROR(__xludf.DUMMYFUNCTION("IMPORTRANGE(""https://docs.google.com/spreadsheets/d/1Yj_ptqi66GCucihVvJfMjLAmec39IyEx_6qawtMGysU/edit?usp=sharing"",""สบก!CV34"")"),0)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IFERROR(__xludf.DUMMYFUNCTION("IMPORTRANGE(""https://docs.google.com/spreadsheets/d/11923uPwbBZFjjGgGUA6NLw09EwE0CqkOc4q9oUmW1yo/edit?usp=sharing"",""สุโขทัย!J205"")"),0)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IFERROR(__xludf.DUMMYFUNCTION("IMPORTRANGE(""https://docs.google.com/spreadsheets/d/11923uPwbBZFjjGgGUA6NLw09EwE0CqkOc4q9oUmW1yo/edit?usp=sharing"",""สุโขทัย!J206"")"),0)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IFERROR(__xludf.DUMMYFUNCTION("IMPORTRANGE(""https://docs.google.com/spreadsheets/d/11923uPwbBZFjjGgGUA6NLw09EwE0CqkOc4q9oUmW1yo/edit?usp=sharing"",""สุโขทัย!J207"")"),0)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IFERROR(__xludf.DUMMYFUNCTION("IMPORTRANGE(""https://docs.google.com/spreadsheets/d/11923uPwbBZFjjGgGUA6NLw09EwE0CqkOc4q9oUmW1yo/edit?usp=sharing"",""สุโขทัย!J208"")"),0)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IFERROR(__xludf.DUMMYFUNCTION("IMPORTRANGE(""https://docs.google.com/spreadsheets/d/11923uPwbBZFjjGgGUA6NLw09EwE0CqkOc4q9oUmW1yo/edit?usp=sharing"",""สุโขทัย!I209"")"),0)</f>
        <v>0</v>
      </c>
      <c r="J304" s="203">
        <f ca="1">IFERROR(__xludf.DUMMYFUNCTION("IMPORTRANGE(""https://docs.google.com/spreadsheets/d/11923uPwbBZFjjGgGUA6NLw09EwE0CqkOc4q9oUmW1yo/edit?usp=sharing"",""สุโขทัย!J209"")"),0)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IFERROR(__xludf.DUMMYFUNCTION("IMPORTRANGE(""https://docs.google.com/spreadsheets/d/11923uPwbBZFjjGgGUA6NLw09EwE0CqkOc4q9oUmW1yo/edit?usp=sharing"",""สุโขทัย!I211"")"),0)</f>
        <v>0</v>
      </c>
      <c r="J306" s="203">
        <f ca="1">IFERROR(__xludf.DUMMYFUNCTION("IMPORTRANGE(""https://docs.google.com/spreadsheets/d/11923uPwbBZFjjGgGUA6NLw09EwE0CqkOc4q9oUmW1yo/edit?usp=sharing"",""สุโขทัย!J211"")"),0)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IFERROR(__xludf.DUMMYFUNCTION("IMPORTRANGE(""https://docs.google.com/spreadsheets/d/11923uPwbBZFjjGgGUA6NLw09EwE0CqkOc4q9oUmW1yo/edit?usp=sharing"",""สุโขทัย!J212"")"),0)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IFERROR(__xludf.DUMMYFUNCTION("IMPORTRANGE(""https://docs.google.com/spreadsheets/d/11923uPwbBZFjjGgGUA6NLw09EwE0CqkOc4q9oUmW1yo/edit?usp=sharing"",""สุโขทัย!J213"")"),0)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IFERROR(__xludf.DUMMYFUNCTION("IMPORTRANGE(""https://docs.google.com/spreadsheets/d/11923uPwbBZFjjGgGUA6NLw09EwE0CqkOc4q9oUmW1yo/edit?usp=sharing"",""สุโขทัย!I214"")"),0)</f>
        <v>0</v>
      </c>
      <c r="J309" s="333">
        <f ca="1">IFERROR(__xludf.DUMMYFUNCTION("IMPORTRANGE(""https://docs.google.com/spreadsheets/d/11923uPwbBZFjjGgGUA6NLw09EwE0CqkOc4q9oUmW1yo/edit?usp=sharing"",""สุโขทัย!J214"")"),0)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IFERROR(__xludf.DUMMYFUNCTION("IMPORTRANGE(""https://docs.google.com/spreadsheets/d/1Yj_ptqi66GCucihVvJfMjLAmec39IyEx_6qawtMGysU/edit?usp=sharing"",""สบก!DC34"")"),0)</f>
        <v>0</v>
      </c>
      <c r="N314" s="168">
        <f ca="1">IFERROR(__xludf.DUMMYFUNCTION("IMPORTRANGE(""https://docs.google.com/spreadsheets/d/1Yj_ptqi66GCucihVvJfMjLAmec39IyEx_6qawtMGysU/edit?usp=sharing"",""สบก!DD34"")"),0)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IFERROR(__xludf.DUMMYFUNCTION("IMPORTRANGE(""https://docs.google.com/spreadsheets/d/1Yj_ptqi66GCucihVvJfMjLAmec39IyEx_6qawtMGysU/edit?usp=sharing"",""สบก!CY34"")"),0)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IFERROR(__xludf.DUMMYFUNCTION("IMPORTRANGE(""https://docs.google.com/spreadsheets/d/1Yj_ptqi66GCucihVvJfMjLAmec39IyEx_6qawtMGysU/edit?usp=sharing"",""สบก!CZ34"")"),0)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IFERROR(__xludf.DUMMYFUNCTION("IMPORTRANGE(""https://docs.google.com/spreadsheets/d/1Yj_ptqi66GCucihVvJfMjLAmec39IyEx_6qawtMGysU/edit?usp=sharing"",""สบก!DA34"")"),0)</f>
        <v>0</v>
      </c>
      <c r="M318" s="50"/>
      <c r="N318" s="50">
        <f ca="1">IFERROR(__xludf.DUMMYFUNCTION("IMPORTRANGE(""https://docs.google.com/spreadsheets/d/1Yj_ptqi66GCucihVvJfMjLAmec39IyEx_6qawtMGysU/edit?usp=sharing"",""สบก!DE34"")"),0)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IFERROR(__xludf.DUMMYFUNCTION("IMPORTRANGE(""https://docs.google.com/spreadsheets/d/11923uPwbBZFjjGgGUA6NLw09EwE0CqkOc4q9oUmW1yo/edit?usp=sharing"",""สุโขทัย!J220"")"),0)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IFERROR(__xludf.DUMMYFUNCTION("IMPORTRANGE(""https://docs.google.com/spreadsheets/d/11923uPwbBZFjjGgGUA6NLw09EwE0CqkOc4q9oUmW1yo/edit?usp=sharing"",""สุโขทัย!J221"")"),0)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IFERROR(__xludf.DUMMYFUNCTION("IMPORTRANGE(""https://docs.google.com/spreadsheets/d/11923uPwbBZFjjGgGUA6NLw09EwE0CqkOc4q9oUmW1yo/edit?usp=sharing"",""สุโขทัย!J222"")"),0)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IFERROR(__xludf.DUMMYFUNCTION("IMPORTRANGE(""https://docs.google.com/spreadsheets/d/11923uPwbBZFjjGgGUA6NLw09EwE0CqkOc4q9oUmW1yo/edit?usp=sharing"",""สุโขทัย!J223"")"),0)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IFERROR(__xludf.DUMMYFUNCTION("IMPORTRANGE(""https://docs.google.com/spreadsheets/d/11923uPwbBZFjjGgGUA6NLw09EwE0CqkOc4q9oUmW1yo/edit?usp=sharing"",""สุโขทัย!I224"")"),0)</f>
        <v>0</v>
      </c>
      <c r="J324" s="203">
        <f ca="1">IFERROR(__xludf.DUMMYFUNCTION("IMPORTRANGE(""https://docs.google.com/spreadsheets/d/11923uPwbBZFjjGgGUA6NLw09EwE0CqkOc4q9oUmW1yo/edit?usp=sharing"",""สุโขทัย!J224"")"),0)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IFERROR(__xludf.DUMMYFUNCTION("IMPORTRANGE(""https://docs.google.com/spreadsheets/d/11923uPwbBZFjjGgGUA6NLw09EwE0CqkOc4q9oUmW1yo/edit?usp=sharing"",""สุโขทัย!J225"")"),0)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IFERROR(__xludf.DUMMYFUNCTION("IMPORTRANGE(""https://docs.google.com/spreadsheets/d/11923uPwbBZFjjGgGUA6NLw09EwE0CqkOc4q9oUmW1yo/edit?usp=sharing"",""สุโขทัย!J226"")"),0)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IFERROR(__xludf.DUMMYFUNCTION("IMPORTRANGE(""https://docs.google.com/spreadsheets/d/11923uPwbBZFjjGgGUA6NLw09EwE0CqkOc4q9oUmW1yo/edit?usp=sharing"",""สุโขทัย!I228"")"),270)</f>
        <v>270</v>
      </c>
      <c r="J328" s="339">
        <f ca="1">IFERROR(__xludf.DUMMYFUNCTION("IMPORTRANGE(""https://docs.google.com/spreadsheets/d/11923uPwbBZFjjGgGUA6NLw09EwE0CqkOc4q9oUmW1yo/edit?usp=sharing"",""สุโขทัย!J228"")"),147)</f>
        <v>147</v>
      </c>
      <c r="K328" s="317">
        <f ca="1">IF(I328&gt;0,J328*100/I328,0)</f>
        <v>54.444444444444443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868030</v>
      </c>
      <c r="M329" s="152">
        <f t="shared" ca="1" si="98"/>
        <v>638830</v>
      </c>
      <c r="N329" s="152">
        <f t="shared" ca="1" si="98"/>
        <v>446438.32</v>
      </c>
      <c r="O329" s="151">
        <f t="shared" ref="O329:O331" ca="1" si="99">IF(L329&gt;0,N329*100/L329,0)</f>
        <v>51.431208598781147</v>
      </c>
      <c r="P329" s="151">
        <f t="shared" ref="P329:P331" ca="1" si="100">IF(M329&gt;0,N329*100/M329,0)</f>
        <v>69.883743718986267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868030</v>
      </c>
      <c r="M331" s="88">
        <f t="shared" ca="1" si="102"/>
        <v>638830</v>
      </c>
      <c r="N331" s="88">
        <f t="shared" ca="1" si="102"/>
        <v>446438.32</v>
      </c>
      <c r="O331" s="156">
        <f t="shared" ca="1" si="99"/>
        <v>51.431208598781147</v>
      </c>
      <c r="P331" s="156">
        <f t="shared" ca="1" si="100"/>
        <v>69.883743718986267</v>
      </c>
    </row>
    <row r="332" spans="1:16" ht="21.75" customHeight="1" x14ac:dyDescent="0.45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868030</v>
      </c>
      <c r="M333" s="167">
        <f ca="1">IFERROR(__xludf.DUMMYFUNCTION("IMPORTRANGE(""https://docs.google.com/spreadsheets/d/1Yj_ptqi66GCucihVvJfMjLAmec39IyEx_6qawtMGysU/edit?usp=sharing"",""สบก!DL34"")"),638830)</f>
        <v>638830</v>
      </c>
      <c r="N333" s="168">
        <f ca="1">IFERROR(__xludf.DUMMYFUNCTION("IMPORTRANGE(""https://docs.google.com/spreadsheets/d/1Yj_ptqi66GCucihVvJfMjLAmec39IyEx_6qawtMGysU/edit?usp=sharing"",""สบก!DM34"")"),446438.32)</f>
        <v>446438.32</v>
      </c>
      <c r="O333" s="168">
        <f ca="1">IF(L333&gt;0,N333*100/L333,0)</f>
        <v>51.431208598781147</v>
      </c>
      <c r="P333" s="168">
        <f ca="1">IF(M333&gt;0,N333*100/M333,0)</f>
        <v>69.883743718986267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IFERROR(__xludf.DUMMYFUNCTION("IMPORTRANGE(""https://docs.google.com/spreadsheets/d/1Yj_ptqi66GCucihVvJfMjLAmec39IyEx_6qawtMGysU/edit?usp=sharing"",""สบก!DH34"")"),529200)</f>
        <v>529200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IFERROR(__xludf.DUMMYFUNCTION("IMPORTRANGE(""https://docs.google.com/spreadsheets/d/1Yj_ptqi66GCucihVvJfMjLAmec39IyEx_6qawtMGysU/edit?usp=sharing"",""สบก!DI34"")"),338830)</f>
        <v>338830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IFERROR(__xludf.DUMMYFUNCTION("IMPORTRANGE(""https://docs.google.com/spreadsheets/d/1Yj_ptqi66GCucihVvJfMjLAmec39IyEx_6qawtMGysU/edit?usp=sharing"",""สบก!DJ34"")"),0)</f>
        <v>0</v>
      </c>
      <c r="M337" s="50"/>
      <c r="N337" s="50">
        <f ca="1">IFERROR(__xludf.DUMMYFUNCTION("IMPORTRANGE(""https://docs.google.com/spreadsheets/d/1Yj_ptqi66GCucihVvJfMjLAmec39IyEx_6qawtMGysU/edit?usp=sharing"",""สบก!DN34"")"),0)</f>
        <v>0</v>
      </c>
      <c r="O337" s="50">
        <f ca="1">IF(L337&gt;0,N337*100/L337,0)</f>
        <v>0</v>
      </c>
      <c r="P337" s="50"/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IFERROR(__xludf.DUMMYFUNCTION("IMPORTRANGE(""https://docs.google.com/spreadsheets/d/11923uPwbBZFjjGgGUA6NLw09EwE0CqkOc4q9oUmW1yo/edit?usp=sharing"",""สุโขทัย!I234"")"),0)</f>
        <v>0</v>
      </c>
      <c r="J339" s="187">
        <f ca="1">IFERROR(__xludf.DUMMYFUNCTION("IMPORTRANGE(""https://docs.google.com/spreadsheets/d/11923uPwbBZFjjGgGUA6NLw09EwE0CqkOc4q9oUmW1yo/edit?usp=sharing"",""สุโขทัย!J234"")"),109)</f>
        <v>109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IFERROR(__xludf.DUMMYFUNCTION("IMPORTRANGE(""https://docs.google.com/spreadsheets/d/11923uPwbBZFjjGgGUA6NLw09EwE0CqkOc4q9oUmW1yo/edit?usp=sharing"",""สุโขทัย!I235"")"),1440)</f>
        <v>1440</v>
      </c>
      <c r="J340" s="187">
        <f ca="1">IFERROR(__xludf.DUMMYFUNCTION("IMPORTRANGE(""https://docs.google.com/spreadsheets/d/11923uPwbBZFjjGgGUA6NLw09EwE0CqkOc4q9oUmW1yo/edit?usp=sharing"",""สุโขทัย!J235"")"),970.379999999999)</f>
        <v>970.37999999999897</v>
      </c>
      <c r="K340" s="342">
        <f t="shared" ca="1" si="103"/>
        <v>67.387499999999932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IFERROR(__xludf.DUMMYFUNCTION("IMPORTRANGE(""https://docs.google.com/spreadsheets/d/11923uPwbBZFjjGgGUA6NLw09EwE0CqkOc4q9oUmW1yo/edit?usp=sharing"",""สุโขทัย!I236"")"),270)</f>
        <v>270</v>
      </c>
      <c r="J341" s="187">
        <f ca="1">IFERROR(__xludf.DUMMYFUNCTION("IMPORTRANGE(""https://docs.google.com/spreadsheets/d/11923uPwbBZFjjGgGUA6NLw09EwE0CqkOc4q9oUmW1yo/edit?usp=sharing"",""สุโขทัย!J236"")"),221)</f>
        <v>221</v>
      </c>
      <c r="K341" s="342">
        <f t="shared" ca="1" si="103"/>
        <v>81.851851851851848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IFERROR(__xludf.DUMMYFUNCTION("IMPORTRANGE(""https://docs.google.com/spreadsheets/d/11923uPwbBZFjjGgGUA6NLw09EwE0CqkOc4q9oUmW1yo/edit?usp=sharing"",""สุโขทัย!I237"")"),0)</f>
        <v>0</v>
      </c>
      <c r="J342" s="187">
        <f ca="1">IFERROR(__xludf.DUMMYFUNCTION("IMPORTRANGE(""https://docs.google.com/spreadsheets/d/11923uPwbBZFjjGgGUA6NLw09EwE0CqkOc4q9oUmW1yo/edit?usp=sharing"",""สุโขทัย!J237"")"),2620.79)</f>
        <v>2620.79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IFERROR(__xludf.DUMMYFUNCTION("IMPORTRANGE(""https://docs.google.com/spreadsheets/d/11923uPwbBZFjjGgGUA6NLw09EwE0CqkOc4q9oUmW1yo/edit?usp=sharing"",""สุโขทัย!I238"")"),270)</f>
        <v>270</v>
      </c>
      <c r="J343" s="187">
        <f ca="1">IFERROR(__xludf.DUMMYFUNCTION("IMPORTRANGE(""https://docs.google.com/spreadsheets/d/11923uPwbBZFjjGgGUA6NLw09EwE0CqkOc4q9oUmW1yo/edit?usp=sharing"",""สุโขทัย!J238"")"),0)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IFERROR(__xludf.DUMMYFUNCTION("IMPORTRANGE(""https://docs.google.com/spreadsheets/d/11923uPwbBZFjjGgGUA6NLw09EwE0CqkOc4q9oUmW1yo/edit?usp=sharing"",""สุโขทัย!I239"")"),0)</f>
        <v>0</v>
      </c>
      <c r="J344" s="187">
        <f ca="1">IFERROR(__xludf.DUMMYFUNCTION("IMPORTRANGE(""https://docs.google.com/spreadsheets/d/11923uPwbBZFjjGgGUA6NLw09EwE0CqkOc4q9oUmW1yo/edit?usp=sharing"",""สุโขทัย!J239"")"),0)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IFERROR(__xludf.DUMMYFUNCTION("IMPORTRANGE(""https://docs.google.com/spreadsheets/d/11923uPwbBZFjjGgGUA6NLw09EwE0CqkOc4q9oUmW1yo/edit?usp=sharing"",""สุโขทัย!I240"")"),270)</f>
        <v>270</v>
      </c>
      <c r="J345" s="187">
        <f ca="1">IFERROR(__xludf.DUMMYFUNCTION("IMPORTRANGE(""https://docs.google.com/spreadsheets/d/11923uPwbBZFjjGgGUA6NLw09EwE0CqkOc4q9oUmW1yo/edit?usp=sharing"",""สุโขทัย!J240"")"),147)</f>
        <v>147</v>
      </c>
      <c r="K345" s="342">
        <f t="shared" ca="1" si="103"/>
        <v>54.444444444444443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IFERROR(__xludf.DUMMYFUNCTION("IMPORTRANGE(""https://docs.google.com/spreadsheets/d/11923uPwbBZFjjGgGUA6NLw09EwE0CqkOc4q9oUmW1yo/edit?usp=sharing"",""สุโขทัย!I241"")"),0)</f>
        <v>0</v>
      </c>
      <c r="J346" s="187">
        <f ca="1">IFERROR(__xludf.DUMMYFUNCTION("IMPORTRANGE(""https://docs.google.com/spreadsheets/d/11923uPwbBZFjjGgGUA6NLw09EwE0CqkOc4q9oUmW1yo/edit?usp=sharing"",""สุโขทัย!J241"")"),1998.97)</f>
        <v>1998.97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IFERROR(__xludf.DUMMYFUNCTION("IMPORTRANGE(""https://docs.google.com/spreadsheets/d/11923uPwbBZFjjGgGUA6NLw09EwE0CqkOc4q9oUmW1yo/edit?usp=sharing"",""สุโขทัย!L242"")"),2002983)</f>
        <v>2002983</v>
      </c>
      <c r="M347" s="357"/>
      <c r="N347" s="357">
        <f ca="1">IFERROR(__xludf.DUMMYFUNCTION("IMPORTRANGE(""https://docs.google.com/spreadsheets/d/11923uPwbBZFjjGgGUA6NLw09EwE0CqkOc4q9oUmW1yo/edit?usp=sharing"",""สุโขทัย!M242"")"),1116561.8)</f>
        <v>1116561.8</v>
      </c>
      <c r="O347" s="357">
        <f ca="1">+IF(L347&gt;0,N347*100/L347,0)</f>
        <v>55.744946412425868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IFERROR(__xludf.DUMMYFUNCTION("IMPORTRANGE(""https://docs.google.com/spreadsheets/d/11923uPwbBZFjjGgGUA6NLw09EwE0CqkOc4q9oUmW1yo/edit?usp=sharing"",""สุโขทัย!I244"")"),80)</f>
        <v>80</v>
      </c>
      <c r="J349" s="370">
        <f ca="1">IFERROR(__xludf.DUMMYFUNCTION("IMPORTRANGE(""https://docs.google.com/spreadsheets/d/11923uPwbBZFjjGgGUA6NLw09EwE0CqkOc4q9oUmW1yo/edit?usp=sharing"",""สุโขทัย!J244"")"),80)</f>
        <v>80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IFERROR(__xludf.DUMMYFUNCTION("IMPORTRANGE(""https://docs.google.com/spreadsheets/d/11923uPwbBZFjjGgGUA6NLw09EwE0CqkOc4q9oUmW1yo/edit?usp=sharing"",""สุโขทัย!L244"")"),367080)</f>
        <v>367080</v>
      </c>
      <c r="M349" s="372"/>
      <c r="N349" s="372">
        <f ca="1">IFERROR(__xludf.DUMMYFUNCTION("IMPORTRANGE(""https://docs.google.com/spreadsheets/d/11923uPwbBZFjjGgGUA6NLw09EwE0CqkOc4q9oUmW1yo/edit?usp=sharing"",""สุโขทัย!M244"")"),256036.13)</f>
        <v>256036.13</v>
      </c>
      <c r="O349" s="372">
        <f ca="1">+IF(L349&gt;0,N349*100/L349,0)</f>
        <v>69.74940884820748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IFERROR(__xludf.DUMMYFUNCTION("IMPORTRANGE(""https://docs.google.com/spreadsheets/d/11923uPwbBZFjjGgGUA6NLw09EwE0CqkOc4q9oUmW1yo/edit?usp=sharing"",""สุโขทัย!I245"")"),80)</f>
        <v>80</v>
      </c>
      <c r="J350" s="370">
        <f ca="1">IFERROR(__xludf.DUMMYFUNCTION("IMPORTRANGE(""https://docs.google.com/spreadsheets/d/11923uPwbBZFjjGgGUA6NLw09EwE0CqkOc4q9oUmW1yo/edit?usp=sharing"",""สุโขทัย!J245"")"),80)</f>
        <v>80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IFERROR(__xludf.DUMMYFUNCTION("IMPORTRANGE(""https://docs.google.com/spreadsheets/d/11923uPwbBZFjjGgGUA6NLw09EwE0CqkOc4q9oUmW1yo/edit?usp=sharing"",""สุโขทัย!L246"")"),0)</f>
        <v>0</v>
      </c>
      <c r="M351" s="164"/>
      <c r="N351" s="164">
        <f ca="1">IFERROR(__xludf.DUMMYFUNCTION("IMPORTRANGE(""https://docs.google.com/spreadsheets/d/11923uPwbBZFjjGgGUA6NLw09EwE0CqkOc4q9oUmW1yo/edit?usp=sharing"",""สุโขทัย!M246"")"),0)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IFERROR(__xludf.DUMMYFUNCTION("IMPORTRANGE(""https://docs.google.com/spreadsheets/d/11923uPwbBZFjjGgGUA6NLw09EwE0CqkOc4q9oUmW1yo/edit?usp=sharing"",""สุโขทัย!L247"")"),367080)</f>
        <v>367080</v>
      </c>
      <c r="M352" s="165"/>
      <c r="N352" s="164">
        <f ca="1">IFERROR(__xludf.DUMMYFUNCTION("IMPORTRANGE(""https://docs.google.com/spreadsheets/d/11923uPwbBZFjjGgGUA6NLw09EwE0CqkOc4q9oUmW1yo/edit?usp=sharing"",""สุโขทัย!M247"")"),256036.13)</f>
        <v>256036.13</v>
      </c>
      <c r="O352" s="165">
        <f t="shared" ca="1" si="105"/>
        <v>69.74940884820748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IFERROR(__xludf.DUMMYFUNCTION("IMPORTRANGE(""https://docs.google.com/spreadsheets/d/11923uPwbBZFjjGgGUA6NLw09EwE0CqkOc4q9oUmW1yo/edit?usp=sharing"",""สุโขทัย!L248"")"),0)</f>
        <v>0</v>
      </c>
      <c r="M353" s="168"/>
      <c r="N353" s="168">
        <f ca="1">IFERROR(__xludf.DUMMYFUNCTION("IMPORTRANGE(""https://docs.google.com/spreadsheets/d/11923uPwbBZFjjGgGUA6NLw09EwE0CqkOc4q9oUmW1yo/edit?usp=sharing"",""สุโขทัย!M248"")"),0)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IFERROR(__xludf.DUMMYFUNCTION("IMPORTRANGE(""https://docs.google.com/spreadsheets/d/11923uPwbBZFjjGgGUA6NLw09EwE0CqkOc4q9oUmW1yo/edit?usp=sharing"",""สุโขทัย!L249"")"),367080)</f>
        <v>367080</v>
      </c>
      <c r="M354" s="168"/>
      <c r="N354" s="167">
        <f ca="1">IFERROR(__xludf.DUMMYFUNCTION("IMPORTRANGE(""https://docs.google.com/spreadsheets/d/11923uPwbBZFjjGgGUA6NLw09EwE0CqkOc4q9oUmW1yo/edit?usp=sharing"",""สุโขทัย!M249"")"),256036.13)</f>
        <v>256036.13</v>
      </c>
      <c r="O354" s="168">
        <f t="shared" ca="1" si="105"/>
        <v>69.74940884820748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IFERROR(__xludf.DUMMYFUNCTION("IMPORTRANGE(""https://docs.google.com/spreadsheets/d/11923uPwbBZFjjGgGUA6NLw09EwE0CqkOc4q9oUmW1yo/edit?usp=sharing"",""สุโขทัย!M250"")"),96000)</f>
        <v>96000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IFERROR(__xludf.DUMMYFUNCTION("IMPORTRANGE(""https://docs.google.com/spreadsheets/d/11923uPwbBZFjjGgGUA6NLw09EwE0CqkOc4q9oUmW1yo/edit?usp=sharing"",""สุโขทัย!M251"")"),0)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IFERROR(__xludf.DUMMYFUNCTION("IMPORTRANGE(""https://docs.google.com/spreadsheets/d/11923uPwbBZFjjGgGUA6NLw09EwE0CqkOc4q9oUmW1yo/edit?usp=sharing"",""สุโขทัย!M252"")"),63516.13)</f>
        <v>63516.13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IFERROR(__xludf.DUMMYFUNCTION("IMPORTRANGE(""https://docs.google.com/spreadsheets/d/11923uPwbBZFjjGgGUA6NLw09EwE0CqkOc4q9oUmW1yo/edit?usp=sharing"",""สุโขทัย!M253"")"),96520)</f>
        <v>96520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IFERROR(__xludf.DUMMYFUNCTION("IMPORTRANGE(""https://docs.google.com/spreadsheets/d/11923uPwbBZFjjGgGUA6NLw09EwE0CqkOc4q9oUmW1yo/edit?usp=sharing"",""สุโขทัย!J255"")"),0)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IFERROR(__xludf.DUMMYFUNCTION("IMPORTRANGE(""https://docs.google.com/spreadsheets/d/11923uPwbBZFjjGgGUA6NLw09EwE0CqkOc4q9oUmW1yo/edit?usp=sharing"",""สุโขทัย!J256"")"),1)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IFERROR(__xludf.DUMMYFUNCTION("IMPORTRANGE(""https://docs.google.com/spreadsheets/d/11923uPwbBZFjjGgGUA6NLw09EwE0CqkOc4q9oUmW1yo/edit?usp=sharing"",""สุโขทัย!J257"")"),1)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IFERROR(__xludf.DUMMYFUNCTION("IMPORTRANGE(""https://docs.google.com/spreadsheets/d/11923uPwbBZFjjGgGUA6NLw09EwE0CqkOc4q9oUmW1yo/edit?usp=sharing"",""สุโขทัย!J258"")"),1)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IFERROR(__xludf.DUMMYFUNCTION("IMPORTRANGE(""https://docs.google.com/spreadsheets/d/11923uPwbBZFjjGgGUA6NLw09EwE0CqkOc4q9oUmW1yo/edit?usp=sharing"",""สุโขทัย!J166"")"),0)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IFERROR(__xludf.DUMMYFUNCTION("IMPORTRANGE(""https://docs.google.com/spreadsheets/d/11923uPwbBZFjjGgGUA6NLw09EwE0CqkOc4q9oUmW1yo/edit?usp=sharing"",""สุโขทัย!J166"")"),0)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IFERROR(__xludf.DUMMYFUNCTION("IMPORTRANGE(""https://docs.google.com/spreadsheets/d/11923uPwbBZFjjGgGUA6NLw09EwE0CqkOc4q9oUmW1yo/edit?usp=sharing"",""สุโขทัย!J166"")"),0)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IFERROR(__xludf.DUMMYFUNCTION("IMPORTRANGE(""https://docs.google.com/spreadsheets/d/11923uPwbBZFjjGgGUA6NLw09EwE0CqkOc4q9oUmW1yo/edit?usp=sharing"",""สุโขทัย!J166"")"),0)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IFERROR(__xludf.DUMMYFUNCTION("IMPORTRANGE(""https://docs.google.com/spreadsheets/d/11923uPwbBZFjjGgGUA6NLw09EwE0CqkOc4q9oUmW1yo/edit?usp=sharing"",""สุโขทัย!I263"")"),80)</f>
        <v>80</v>
      </c>
      <c r="J368" s="187">
        <f ca="1">IFERROR(__xludf.DUMMYFUNCTION("IMPORTRANGE(""https://docs.google.com/spreadsheets/d/11923uPwbBZFjjGgGUA6NLw09EwE0CqkOc4q9oUmW1yo/edit?usp=sharing"",""สุโขทัย!J263"")"),80)</f>
        <v>80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IFERROR(__xludf.DUMMYFUNCTION("IMPORTRANGE(""https://docs.google.com/spreadsheets/d/11923uPwbBZFjjGgGUA6NLw09EwE0CqkOc4q9oUmW1yo/edit?usp=sharing"",""สุโขทัย!I164"")"),0)</f>
        <v>0</v>
      </c>
      <c r="J369" s="203">
        <f ca="1">IFERROR(__xludf.DUMMYFUNCTION("IMPORTRANGE(""https://docs.google.com/spreadsheets/d/11923uPwbBZFjjGgGUA6NLw09EwE0CqkOc4q9oUmW1yo/edit?usp=sharing"",""สุโขทัย!J164"")"),0)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IFERROR(__xludf.DUMMYFUNCTION("IMPORTRANGE(""https://docs.google.com/spreadsheets/d/11923uPwbBZFjjGgGUA6NLw09EwE0CqkOc4q9oUmW1yo/edit?usp=sharing"",""สุโขทัย!I265"")"),80)</f>
        <v>80</v>
      </c>
      <c r="J370" s="203">
        <f ca="1">IFERROR(__xludf.DUMMYFUNCTION("IMPORTRANGE(""https://docs.google.com/spreadsheets/d/11923uPwbBZFjjGgGUA6NLw09EwE0CqkOc4q9oUmW1yo/edit?usp=sharing"",""สุโขทัย!J265"")"),80)</f>
        <v>80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IFERROR(__xludf.DUMMYFUNCTION("IMPORTRANGE(""https://docs.google.com/spreadsheets/d/11923uPwbBZFjjGgGUA6NLw09EwE0CqkOc4q9oUmW1yo/edit?usp=sharing"",""สุโขทัย!I164"")"),0)</f>
        <v>0</v>
      </c>
      <c r="J371" s="188">
        <f ca="1">IFERROR(__xludf.DUMMYFUNCTION("IMPORTRANGE(""https://docs.google.com/spreadsheets/d/11923uPwbBZFjjGgGUA6NLw09EwE0CqkOc4q9oUmW1yo/edit?usp=sharing"",""สุโขทัย!J164"")"),0)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IFERROR(__xludf.DUMMYFUNCTION("IMPORTRANGE(""https://docs.google.com/spreadsheets/d/11923uPwbBZFjjGgGUA6NLw09EwE0CqkOc4q9oUmW1yo/edit?usp=sharing"",""สุโขทัย!I267"")"),80)</f>
        <v>80</v>
      </c>
      <c r="J372" s="188">
        <f ca="1">IFERROR(__xludf.DUMMYFUNCTION("IMPORTRANGE(""https://docs.google.com/spreadsheets/d/11923uPwbBZFjjGgGUA6NLw09EwE0CqkOc4q9oUmW1yo/edit?usp=sharing"",""สุโขทัย!J267"")"),80)</f>
        <v>80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IFERROR(__xludf.DUMMYFUNCTION("IMPORTRANGE(""https://docs.google.com/spreadsheets/d/11923uPwbBZFjjGgGUA6NLw09EwE0CqkOc4q9oUmW1yo/edit?usp=sharing"",""สุโขทัย!I164"")"),0)</f>
        <v>0</v>
      </c>
      <c r="J373" s="203">
        <f ca="1">IFERROR(__xludf.DUMMYFUNCTION("IMPORTRANGE(""https://docs.google.com/spreadsheets/d/11923uPwbBZFjjGgGUA6NLw09EwE0CqkOc4q9oUmW1yo/edit?usp=sharing"",""สุโขทัย!J164"")"),0)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IFERROR(__xludf.DUMMYFUNCTION("IMPORTRANGE(""https://docs.google.com/spreadsheets/d/11923uPwbBZFjjGgGUA6NLw09EwE0CqkOc4q9oUmW1yo/edit?usp=sharing"",""สุโขทัย!I164"")"),0)</f>
        <v>0</v>
      </c>
      <c r="J374" s="187">
        <f ca="1">IFERROR(__xludf.DUMMYFUNCTION("IMPORTRANGE(""https://docs.google.com/spreadsheets/d/11923uPwbBZFjjGgGUA6NLw09EwE0CqkOc4q9oUmW1yo/edit?usp=sharing"",""สุโขทัย!J164"")"),0)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IFERROR(__xludf.DUMMYFUNCTION("IMPORTRANGE(""https://docs.google.com/spreadsheets/d/11923uPwbBZFjjGgGUA6NLw09EwE0CqkOc4q9oUmW1yo/edit?usp=sharing"",""สุโขทัย!I270"")"),80)</f>
        <v>80</v>
      </c>
      <c r="J375" s="187">
        <f ca="1">IFERROR(__xludf.DUMMYFUNCTION("IMPORTRANGE(""https://docs.google.com/spreadsheets/d/11923uPwbBZFjjGgGUA6NLw09EwE0CqkOc4q9oUmW1yo/edit?usp=sharing"",""สุโขทัย!J270"")"),80)</f>
        <v>80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IFERROR(__xludf.DUMMYFUNCTION("IMPORTRANGE(""https://docs.google.com/spreadsheets/d/11923uPwbBZFjjGgGUA6NLw09EwE0CqkOc4q9oUmW1yo/edit?usp=sharing"",""สุโขทัย!I271"")"),46)</f>
        <v>46</v>
      </c>
      <c r="J376" s="188">
        <f ca="1">IFERROR(__xludf.DUMMYFUNCTION("IMPORTRANGE(""https://docs.google.com/spreadsheets/d/11923uPwbBZFjjGgGUA6NLw09EwE0CqkOc4q9oUmW1yo/edit?usp=sharing"",""สุโขทัย!J271"")"),46)</f>
        <v>46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IFERROR(__xludf.DUMMYFUNCTION("IMPORTRANGE(""https://docs.google.com/spreadsheets/d/11923uPwbBZFjjGgGUA6NLw09EwE0CqkOc4q9oUmW1yo/edit?usp=sharing"",""สุโขทัย!I272"")"),34)</f>
        <v>34</v>
      </c>
      <c r="J377" s="203">
        <f ca="1">IFERROR(__xludf.DUMMYFUNCTION("IMPORTRANGE(""https://docs.google.com/spreadsheets/d/11923uPwbBZFjjGgGUA6NLw09EwE0CqkOc4q9oUmW1yo/edit?usp=sharing"",""สุโขทัย!J272"")"),34)</f>
        <v>34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IFERROR(__xludf.DUMMYFUNCTION("IMPORTRANGE(""https://docs.google.com/spreadsheets/d/11923uPwbBZFjjGgGUA6NLw09EwE0CqkOc4q9oUmW1yo/edit?usp=sharing"",""สุโขทัย!J273"")"),0)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IFERROR(__xludf.DUMMYFUNCTION("IMPORTRANGE(""https://docs.google.com/spreadsheets/d/11923uPwbBZFjjGgGUA6NLw09EwE0CqkOc4q9oUmW1yo/edit?usp=sharing"",""สุโขทัย!J274"")"),0)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IFERROR(__xludf.DUMMYFUNCTION("IMPORTRANGE(""https://docs.google.com/spreadsheets/d/11923uPwbBZFjjGgGUA6NLw09EwE0CqkOc4q9oUmW1yo/edit?usp=sharing"",""สุโขทัย!I275"")"),200)</f>
        <v>200</v>
      </c>
      <c r="J380" s="370">
        <f ca="1">IFERROR(__xludf.DUMMYFUNCTION("IMPORTRANGE(""https://docs.google.com/spreadsheets/d/11923uPwbBZFjjGgGUA6NLw09EwE0CqkOc4q9oUmW1yo/edit?usp=sharing"",""สุโขทัย!J275"")"),0)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IFERROR(__xludf.DUMMYFUNCTION("IMPORTRANGE(""https://docs.google.com/spreadsheets/d/11923uPwbBZFjjGgGUA6NLw09EwE0CqkOc4q9oUmW1yo/edit?usp=sharing"",""สุโขทัย!L275"")"),207560)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IFERROR(__xludf.DUMMYFUNCTION("IMPORTRANGE(""https://docs.google.com/spreadsheets/d/11923uPwbBZFjjGgGUA6NLw09EwE0CqkOc4q9oUmW1yo/edit?usp=sharing"",""สุโขทัย!M275"")"),65000)</f>
        <v>65000</v>
      </c>
      <c r="O380" s="372">
        <f ca="1">+IF(L380&gt;0,N380*100/L380,0)</f>
        <v>31.316245904798613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IFERROR(__xludf.DUMMYFUNCTION("IMPORTRANGE(""https://docs.google.com/spreadsheets/d/11923uPwbBZFjjGgGUA6NLw09EwE0CqkOc4q9oUmW1yo/edit?usp=sharing"",""สุโขทัย!I276"")"),20)</f>
        <v>20</v>
      </c>
      <c r="J381" s="370">
        <f ca="1">IFERROR(__xludf.DUMMYFUNCTION("IMPORTRANGE(""https://docs.google.com/spreadsheets/d/11923uPwbBZFjjGgGUA6NLw09EwE0CqkOc4q9oUmW1yo/edit?usp=sharing"",""สุโขทัย!J276"")"),20)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IFERROR(__xludf.DUMMYFUNCTION("IMPORTRANGE(""https://docs.google.com/spreadsheets/d/11923uPwbBZFjjGgGUA6NLw09EwE0CqkOc4q9oUmW1yo/edit?usp=sharing"",""สุโขทัย!L277"")"),0)</f>
        <v>0</v>
      </c>
      <c r="M382" s="164"/>
      <c r="N382" s="164">
        <f ca="1">IFERROR(__xludf.DUMMYFUNCTION("IMPORTRANGE(""https://docs.google.com/spreadsheets/d/11923uPwbBZFjjGgGUA6NLw09EwE0CqkOc4q9oUmW1yo/edit?usp=sharing"",""สุโขทัย!M277"")"),0)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IFERROR(__xludf.DUMMYFUNCTION("IMPORTRANGE(""https://docs.google.com/spreadsheets/d/11923uPwbBZFjjGgGUA6NLw09EwE0CqkOc4q9oUmW1yo/edit?usp=sharing"",""สุโขทัย!L278"")"),207560)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IFERROR(__xludf.DUMMYFUNCTION("IMPORTRANGE(""https://docs.google.com/spreadsheets/d/11923uPwbBZFjjGgGUA6NLw09EwE0CqkOc4q9oUmW1yo/edit?usp=sharing"",""สุโขทัย!M278"")"),65000)</f>
        <v>65000</v>
      </c>
      <c r="O383" s="165">
        <f t="shared" ca="1" si="109"/>
        <v>31.316245904798613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IFERROR(__xludf.DUMMYFUNCTION("IMPORTRANGE(""https://docs.google.com/spreadsheets/d/11923uPwbBZFjjGgGUA6NLw09EwE0CqkOc4q9oUmW1yo/edit?usp=sharing"",""สุโขทัย!L279"")"),0)</f>
        <v>0</v>
      </c>
      <c r="M384" s="168"/>
      <c r="N384" s="168">
        <f ca="1">IFERROR(__xludf.DUMMYFUNCTION("IMPORTRANGE(""https://docs.google.com/spreadsheets/d/11923uPwbBZFjjGgGUA6NLw09EwE0CqkOc4q9oUmW1yo/edit?usp=sharing"",""สุโขทัย!M279"")"),0)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IFERROR(__xludf.DUMMYFUNCTION("IMPORTRANGE(""https://docs.google.com/spreadsheets/d/11923uPwbBZFjjGgGUA6NLw09EwE0CqkOc4q9oUmW1yo/edit?usp=sharing"",""สุโขทัย!L280"")"),207560)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IFERROR(__xludf.DUMMYFUNCTION("IMPORTRANGE(""https://docs.google.com/spreadsheets/d/11923uPwbBZFjjGgGUA6NLw09EwE0CqkOc4q9oUmW1yo/edit?usp=sharing"",""สุโขทัย!M280"")"),65000)</f>
        <v>65000</v>
      </c>
      <c r="O385" s="168">
        <f t="shared" ca="1" si="109"/>
        <v>31.316245904798613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IFERROR(__xludf.DUMMYFUNCTION("IMPORTRANGE(""https://docs.google.com/spreadsheets/d/11923uPwbBZFjjGgGUA6NLw09EwE0CqkOc4q9oUmW1yo/edit?usp=sharing"",""สุโขทัย!M281"")"),59200)</f>
        <v>59200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IFERROR(__xludf.DUMMYFUNCTION("IMPORTRANGE(""https://docs.google.com/spreadsheets/d/11923uPwbBZFjjGgGUA6NLw09EwE0CqkOc4q9oUmW1yo/edit?usp=sharing"",""สุโขทัย!M282"")"),0)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IFERROR(__xludf.DUMMYFUNCTION("IMPORTRANGE(""https://docs.google.com/spreadsheets/d/11923uPwbBZFjjGgGUA6NLw09EwE0CqkOc4q9oUmW1yo/edit?usp=sharing"",""สุโขทัย!M283"")"),0)</f>
        <v>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IFERROR(__xludf.DUMMYFUNCTION("IMPORTRANGE(""https://docs.google.com/spreadsheets/d/11923uPwbBZFjjGgGUA6NLw09EwE0CqkOc4q9oUmW1yo/edit?usp=sharing"",""สุโขทัย!M284"")"),5800)</f>
        <v>5800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IFERROR(__xludf.DUMMYFUNCTION("IMPORTRANGE(""https://docs.google.com/spreadsheets/d/11923uPwbBZFjjGgGUA6NLw09EwE0CqkOc4q9oUmW1yo/edit?usp=sharing"",""สุโขทัย!J286"")"),0)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IFERROR(__xludf.DUMMYFUNCTION("IMPORTRANGE(""https://docs.google.com/spreadsheets/d/11923uPwbBZFjjGgGUA6NLw09EwE0CqkOc4q9oUmW1yo/edit?usp=sharing"",""สุโขทัย!J287"")"),1)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IFERROR(__xludf.DUMMYFUNCTION("IMPORTRANGE(""https://docs.google.com/spreadsheets/d/11923uPwbBZFjjGgGUA6NLw09EwE0CqkOc4q9oUmW1yo/edit?usp=sharing"",""สุโขทัย!J288"")"),1)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IFERROR(__xludf.DUMMYFUNCTION("IMPORTRANGE(""https://docs.google.com/spreadsheets/d/11923uPwbBZFjjGgGUA6NLw09EwE0CqkOc4q9oUmW1yo/edit?usp=sharing"",""สุโขทัย!J289"")"),1)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IFERROR(__xludf.DUMMYFUNCTION("IMPORTRANGE(""https://docs.google.com/spreadsheets/d/11923uPwbBZFjjGgGUA6NLw09EwE0CqkOc4q9oUmW1yo/edit?usp=sharing"",""สุโขทัย!I291"")"),20)</f>
        <v>20</v>
      </c>
      <c r="J396" s="197">
        <f ca="1">IFERROR(__xludf.DUMMYFUNCTION("IMPORTRANGE(""https://docs.google.com/spreadsheets/d/11923uPwbBZFjjGgGUA6NLw09EwE0CqkOc4q9oUmW1yo/edit?usp=sharing"",""สุโขทัย!J291"")"),20)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IFERROR(__xludf.DUMMYFUNCTION("IMPORTRANGE(""https://docs.google.com/spreadsheets/d/11923uPwbBZFjjGgGUA6NLw09EwE0CqkOc4q9oUmW1yo/edit?usp=sharing"",""สุโขทัย!I292"")"),200)</f>
        <v>200</v>
      </c>
      <c r="J397" s="197">
        <f ca="1">IFERROR(__xludf.DUMMYFUNCTION("IMPORTRANGE(""https://docs.google.com/spreadsheets/d/11923uPwbBZFjjGgGUA6NLw09EwE0CqkOc4q9oUmW1yo/edit?usp=sharing"",""สุโขทัย!J292"")"),0)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IFERROR(__xludf.DUMMYFUNCTION("IMPORTRANGE(""https://docs.google.com/spreadsheets/d/11923uPwbBZFjjGgGUA6NLw09EwE0CqkOc4q9oUmW1yo/edit?usp=sharing"",""สุโขทัย!I293"")"),20)</f>
        <v>20</v>
      </c>
      <c r="J398" s="197">
        <f ca="1">IFERROR(__xludf.DUMMYFUNCTION("IMPORTRANGE(""https://docs.google.com/spreadsheets/d/11923uPwbBZFjjGgGUA6NLw09EwE0CqkOc4q9oUmW1yo/edit?usp=sharing"",""สุโขทัย!J293"")"),0)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IFERROR(__xludf.DUMMYFUNCTION("IMPORTRANGE(""https://docs.google.com/spreadsheets/d/11923uPwbBZFjjGgGUA6NLw09EwE0CqkOc4q9oUmW1yo/edit?usp=sharing"",""สุโขทัย!J294"")"),0)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IFERROR(__xludf.DUMMYFUNCTION("IMPORTRANGE(""https://docs.google.com/spreadsheets/d/11923uPwbBZFjjGgGUA6NLw09EwE0CqkOc4q9oUmW1yo/edit?usp=sharing"",""สุโขทัย!J295"")"),0)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IFERROR(__xludf.DUMMYFUNCTION("IMPORTRANGE(""https://docs.google.com/spreadsheets/d/11923uPwbBZFjjGgGUA6NLw09EwE0CqkOc4q9oUmW1yo/edit?usp=sharing"",""สุโขทัย!I296"")"),285)</f>
        <v>285</v>
      </c>
      <c r="J401" s="370">
        <f ca="1">IFERROR(__xludf.DUMMYFUNCTION("IMPORTRANGE(""https://docs.google.com/spreadsheets/d/11923uPwbBZFjjGgGUA6NLw09EwE0CqkOc4q9oUmW1yo/edit?usp=sharing"",""สุโขทัย!J296"")"),285)</f>
        <v>285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IFERROR(__xludf.DUMMYFUNCTION("IMPORTRANGE(""https://docs.google.com/spreadsheets/d/11923uPwbBZFjjGgGUA6NLw09EwE0CqkOc4q9oUmW1yo/edit?usp=sharing"",""สุโขทัย!L296"")"),300950)</f>
        <v>300950</v>
      </c>
      <c r="M401" s="372"/>
      <c r="N401" s="372">
        <f ca="1">IFERROR(__xludf.DUMMYFUNCTION("IMPORTRANGE(""https://docs.google.com/spreadsheets/d/11923uPwbBZFjjGgGUA6NLw09EwE0CqkOc4q9oUmW1yo/edit?usp=sharing"",""สุโขทัย!M296"")"),262365)</f>
        <v>262365</v>
      </c>
      <c r="O401" s="372">
        <f ca="1">+IF(L401&gt;0,N401*100/L401,0)</f>
        <v>87.178933377637478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IFERROR(__xludf.DUMMYFUNCTION("IMPORTRANGE(""https://docs.google.com/spreadsheets/d/11923uPwbBZFjjGgGUA6NLw09EwE0CqkOc4q9oUmW1yo/edit?usp=sharing"",""สุโขทัย!I297"")"),95)</f>
        <v>95</v>
      </c>
      <c r="J402" s="370">
        <f ca="1">IFERROR(__xludf.DUMMYFUNCTION("IMPORTRANGE(""https://docs.google.com/spreadsheets/d/11923uPwbBZFjjGgGUA6NLw09EwE0CqkOc4q9oUmW1yo/edit?usp=sharing"",""สุโขทัย!J297"")"),95)</f>
        <v>95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IFERROR(__xludf.DUMMYFUNCTION("IMPORTRANGE(""https://docs.google.com/spreadsheets/d/11923uPwbBZFjjGgGUA6NLw09EwE0CqkOc4q9oUmW1yo/edit?usp=sharing"",""สุโขทัย!L298"")"),0)</f>
        <v>0</v>
      </c>
      <c r="M403" s="164"/>
      <c r="N403" s="168">
        <f ca="1">IFERROR(__xludf.DUMMYFUNCTION("IMPORTRANGE(""https://docs.google.com/spreadsheets/d/11923uPwbBZFjjGgGUA6NLw09EwE0CqkOc4q9oUmW1yo/edit?usp=sharing"",""สุโขทัย!M298"")"),0)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IFERROR(__xludf.DUMMYFUNCTION("IMPORTRANGE(""https://docs.google.com/spreadsheets/d/11923uPwbBZFjjGgGUA6NLw09EwE0CqkOc4q9oUmW1yo/edit?usp=sharing"",""สุโขทัย!L299"")"),300950)</f>
        <v>300950</v>
      </c>
      <c r="M404" s="165"/>
      <c r="N404" s="168">
        <f ca="1">IFERROR(__xludf.DUMMYFUNCTION("IMPORTRANGE(""https://docs.google.com/spreadsheets/d/11923uPwbBZFjjGgGUA6NLw09EwE0CqkOc4q9oUmW1yo/edit?usp=sharing"",""สุโขทัย!M299"")"),262365)</f>
        <v>262365</v>
      </c>
      <c r="O404" s="168">
        <f t="shared" ca="1" si="112"/>
        <v>87.178933377637478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IFERROR(__xludf.DUMMYFUNCTION("IMPORTRANGE(""https://docs.google.com/spreadsheets/d/11923uPwbBZFjjGgGUA6NLw09EwE0CqkOc4q9oUmW1yo/edit?usp=sharing"",""สุโขทัย!L300"")"),0)</f>
        <v>0</v>
      </c>
      <c r="M405" s="168"/>
      <c r="N405" s="168">
        <f ca="1">IFERROR(__xludf.DUMMYFUNCTION("IMPORTRANGE(""https://docs.google.com/spreadsheets/d/11923uPwbBZFjjGgGUA6NLw09EwE0CqkOc4q9oUmW1yo/edit?usp=sharing"",""สุโขทัย!M300"")"),0)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IFERROR(__xludf.DUMMYFUNCTION("IMPORTRANGE(""https://docs.google.com/spreadsheets/d/11923uPwbBZFjjGgGUA6NLw09EwE0CqkOc4q9oUmW1yo/edit?usp=sharing"",""สุโขทัย!L301"")"),300950)</f>
        <v>300950</v>
      </c>
      <c r="M406" s="168"/>
      <c r="N406" s="168">
        <f ca="1">IFERROR(__xludf.DUMMYFUNCTION("IMPORTRANGE(""https://docs.google.com/spreadsheets/d/11923uPwbBZFjjGgGUA6NLw09EwE0CqkOc4q9oUmW1yo/edit?usp=sharing"",""สุโขทัย!M301"")"),262365)</f>
        <v>262365</v>
      </c>
      <c r="O406" s="168">
        <f t="shared" ca="1" si="112"/>
        <v>87.178933377637478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IFERROR(__xludf.DUMMYFUNCTION("IMPORTRANGE(""https://docs.google.com/spreadsheets/d/11923uPwbBZFjjGgGUA6NLw09EwE0CqkOc4q9oUmW1yo/edit?usp=sharing"",""สุโขทัย!M302"")"),190945)</f>
        <v>190945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IFERROR(__xludf.DUMMYFUNCTION("IMPORTRANGE(""https://docs.google.com/spreadsheets/d/11923uPwbBZFjjGgGUA6NLw09EwE0CqkOc4q9oUmW1yo/edit?usp=sharing"",""สุโขทัย!M303"")"),51650)</f>
        <v>51650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IFERROR(__xludf.DUMMYFUNCTION("IMPORTRANGE(""https://docs.google.com/spreadsheets/d/11923uPwbBZFjjGgGUA6NLw09EwE0CqkOc4q9oUmW1yo/edit?usp=sharing"",""สุโขทัย!M304"")"),0)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IFERROR(__xludf.DUMMYFUNCTION("IMPORTRANGE(""https://docs.google.com/spreadsheets/d/11923uPwbBZFjjGgGUA6NLw09EwE0CqkOc4q9oUmW1yo/edit?usp=sharing"",""สุโขทัย!M305"")"),19770)</f>
        <v>19770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IFERROR(__xludf.DUMMYFUNCTION("IMPORTRANGE(""https://docs.google.com/spreadsheets/d/11923uPwbBZFjjGgGUA6NLw09EwE0CqkOc4q9oUmW1yo/edit?usp=sharing"",""สุโขทัย!J307"")"),0)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IFERROR(__xludf.DUMMYFUNCTION("IMPORTRANGE(""https://docs.google.com/spreadsheets/d/11923uPwbBZFjjGgGUA6NLw09EwE0CqkOc4q9oUmW1yo/edit?usp=sharing"",""สุโขทัย!J308"")"),1)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IFERROR(__xludf.DUMMYFUNCTION("IMPORTRANGE(""https://docs.google.com/spreadsheets/d/11923uPwbBZFjjGgGUA6NLw09EwE0CqkOc4q9oUmW1yo/edit?usp=sharing"",""สุโขทัย!J309"")"),1)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IFERROR(__xludf.DUMMYFUNCTION("IMPORTRANGE(""https://docs.google.com/spreadsheets/d/11923uPwbBZFjjGgGUA6NLw09EwE0CqkOc4q9oUmW1yo/edit?usp=sharing"",""สุโขทัย!J310"")"),1)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IFERROR(__xludf.DUMMYFUNCTION("IMPORTRANGE(""https://docs.google.com/spreadsheets/d/11923uPwbBZFjjGgGUA6NLw09EwE0CqkOc4q9oUmW1yo/edit?usp=sharing"",""สุโขทัย!I311"")"),95)</f>
        <v>95</v>
      </c>
      <c r="J416" s="200">
        <f ca="1">IFERROR(__xludf.DUMMYFUNCTION("IMPORTRANGE(""https://docs.google.com/spreadsheets/d/11923uPwbBZFjjGgGUA6NLw09EwE0CqkOc4q9oUmW1yo/edit?usp=sharing"",""สุโขทัย!J311"")"),95)</f>
        <v>95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IFERROR(__xludf.DUMMYFUNCTION("IMPORTRANGE(""https://docs.google.com/spreadsheets/d/11923uPwbBZFjjGgGUA6NLw09EwE0CqkOc4q9oUmW1yo/edit?usp=sharing"",""สุโขทัย!I312"")"),10)</f>
        <v>10</v>
      </c>
      <c r="J417" s="391">
        <f ca="1">IFERROR(__xludf.DUMMYFUNCTION("IMPORTRANGE(""https://docs.google.com/spreadsheets/d/11923uPwbBZFjjGgGUA6NLw09EwE0CqkOc4q9oUmW1yo/edit?usp=sharing"",""สุโขทัย!J312"")"),10)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IFERROR(__xludf.DUMMYFUNCTION("IMPORTRANGE(""https://docs.google.com/spreadsheets/d/11923uPwbBZFjjGgGUA6NLw09EwE0CqkOc4q9oUmW1yo/edit?usp=sharing"",""สุโขทัย!I313"")"),30)</f>
        <v>30</v>
      </c>
      <c r="J418" s="392">
        <f ca="1">IFERROR(__xludf.DUMMYFUNCTION("IMPORTRANGE(""https://docs.google.com/spreadsheets/d/11923uPwbBZFjjGgGUA6NLw09EwE0CqkOc4q9oUmW1yo/edit?usp=sharing"",""สุโขทัย!J313"")"),30)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IFERROR(__xludf.DUMMYFUNCTION("IMPORTRANGE(""https://docs.google.com/spreadsheets/d/11923uPwbBZFjjGgGUA6NLw09EwE0CqkOc4q9oUmW1yo/edit?usp=sharing"",""สุโขทัย!I314"")"),10)</f>
        <v>10</v>
      </c>
      <c r="J419" s="393">
        <f ca="1">IFERROR(__xludf.DUMMYFUNCTION("IMPORTRANGE(""https://docs.google.com/spreadsheets/d/11923uPwbBZFjjGgGUA6NLw09EwE0CqkOc4q9oUmW1yo/edit?usp=sharing"",""สุโขทัย!J314"")"),10)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IFERROR(__xludf.DUMMYFUNCTION("IMPORTRANGE(""https://docs.google.com/spreadsheets/d/11923uPwbBZFjjGgGUA6NLw09EwE0CqkOc4q9oUmW1yo/edit?usp=sharing"",""สุโขทัย!I315"")"),10)</f>
        <v>10</v>
      </c>
      <c r="J420" s="393">
        <f ca="1">IFERROR(__xludf.DUMMYFUNCTION("IMPORTRANGE(""https://docs.google.com/spreadsheets/d/11923uPwbBZFjjGgGUA6NLw09EwE0CqkOc4q9oUmW1yo/edit?usp=sharing"",""สุโขทัย!J315"")"),10)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IFERROR(__xludf.DUMMYFUNCTION("IMPORTRANGE(""https://docs.google.com/spreadsheets/d/11923uPwbBZFjjGgGUA6NLw09EwE0CqkOc4q9oUmW1yo/edit?usp=sharing"",""สุโขทัย!I316"")"),75)</f>
        <v>75</v>
      </c>
      <c r="J421" s="391">
        <f ca="1">IFERROR(__xludf.DUMMYFUNCTION("IMPORTRANGE(""https://docs.google.com/spreadsheets/d/11923uPwbBZFjjGgGUA6NLw09EwE0CqkOc4q9oUmW1yo/edit?usp=sharing"",""สุโขทัย!J316"")"),75)</f>
        <v>75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IFERROR(__xludf.DUMMYFUNCTION("IMPORTRANGE(""https://docs.google.com/spreadsheets/d/11923uPwbBZFjjGgGUA6NLw09EwE0CqkOc4q9oUmW1yo/edit?usp=sharing"",""สุโขทัย!I317"")"),225)</f>
        <v>225</v>
      </c>
      <c r="J422" s="392">
        <f ca="1">IFERROR(__xludf.DUMMYFUNCTION("IMPORTRANGE(""https://docs.google.com/spreadsheets/d/11923uPwbBZFjjGgGUA6NLw09EwE0CqkOc4q9oUmW1yo/edit?usp=sharing"",""สุโขทัย!J317"")"),225)</f>
        <v>225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IFERROR(__xludf.DUMMYFUNCTION("IMPORTRANGE(""https://docs.google.com/spreadsheets/d/11923uPwbBZFjjGgGUA6NLw09EwE0CqkOc4q9oUmW1yo/edit?usp=sharing"",""สุโขทัย!I318"")"),75)</f>
        <v>75</v>
      </c>
      <c r="J423" s="393">
        <f ca="1">IFERROR(__xludf.DUMMYFUNCTION("IMPORTRANGE(""https://docs.google.com/spreadsheets/d/11923uPwbBZFjjGgGUA6NLw09EwE0CqkOc4q9oUmW1yo/edit?usp=sharing"",""สุโขทัย!J318"")"),75)</f>
        <v>75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IFERROR(__xludf.DUMMYFUNCTION("IMPORTRANGE(""https://docs.google.com/spreadsheets/d/11923uPwbBZFjjGgGUA6NLw09EwE0CqkOc4q9oUmW1yo/edit?usp=sharing"",""สุโขทัย!I319"")"),75)</f>
        <v>75</v>
      </c>
      <c r="J424" s="393">
        <f ca="1">IFERROR(__xludf.DUMMYFUNCTION("IMPORTRANGE(""https://docs.google.com/spreadsheets/d/11923uPwbBZFjjGgGUA6NLw09EwE0CqkOc4q9oUmW1yo/edit?usp=sharing"",""สุโขทัย!J319"")"),75)</f>
        <v>75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IFERROR(__xludf.DUMMYFUNCTION("IMPORTRANGE(""https://docs.google.com/spreadsheets/d/11923uPwbBZFjjGgGUA6NLw09EwE0CqkOc4q9oUmW1yo/edit?usp=sharing"",""สุโขทัย!I320"")"),75)</f>
        <v>75</v>
      </c>
      <c r="J425" s="393">
        <f ca="1">IFERROR(__xludf.DUMMYFUNCTION("IMPORTRANGE(""https://docs.google.com/spreadsheets/d/11923uPwbBZFjjGgGUA6NLw09EwE0CqkOc4q9oUmW1yo/edit?usp=sharing"",""สุโขทัย!J320"")"),75)</f>
        <v>75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IFERROR(__xludf.DUMMYFUNCTION("IMPORTRANGE(""https://docs.google.com/spreadsheets/d/11923uPwbBZFjjGgGUA6NLw09EwE0CqkOc4q9oUmW1yo/edit?usp=sharing"",""สุโขทัย!I321"")"),10)</f>
        <v>10</v>
      </c>
      <c r="J426" s="391">
        <f ca="1">IFERROR(__xludf.DUMMYFUNCTION("IMPORTRANGE(""https://docs.google.com/spreadsheets/d/11923uPwbBZFjjGgGUA6NLw09EwE0CqkOc4q9oUmW1yo/edit?usp=sharing"",""สุโขทัย!J321"")"),10)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IFERROR(__xludf.DUMMYFUNCTION("IMPORTRANGE(""https://docs.google.com/spreadsheets/d/11923uPwbBZFjjGgGUA6NLw09EwE0CqkOc4q9oUmW1yo/edit?usp=sharing"",""สุโขทัย!I322"")"),30)</f>
        <v>30</v>
      </c>
      <c r="J427" s="392">
        <f ca="1">IFERROR(__xludf.DUMMYFUNCTION("IMPORTRANGE(""https://docs.google.com/spreadsheets/d/11923uPwbBZFjjGgGUA6NLw09EwE0CqkOc4q9oUmW1yo/edit?usp=sharing"",""สุโขทัย!J322"")"),30)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IFERROR(__xludf.DUMMYFUNCTION("IMPORTRANGE(""https://docs.google.com/spreadsheets/d/11923uPwbBZFjjGgGUA6NLw09EwE0CqkOc4q9oUmW1yo/edit?usp=sharing"",""สุโขทัย!I323"")"),10)</f>
        <v>10</v>
      </c>
      <c r="J428" s="393">
        <f ca="1">IFERROR(__xludf.DUMMYFUNCTION("IMPORTRANGE(""https://docs.google.com/spreadsheets/d/11923uPwbBZFjjGgGUA6NLw09EwE0CqkOc4q9oUmW1yo/edit?usp=sharing"",""สุโขทัย!J323"")"),10)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IFERROR(__xludf.DUMMYFUNCTION("IMPORTRANGE(""https://docs.google.com/spreadsheets/d/11923uPwbBZFjjGgGUA6NLw09EwE0CqkOc4q9oUmW1yo/edit?usp=sharing"",""สุโขทัย!I324"")"),10)</f>
        <v>10</v>
      </c>
      <c r="J429" s="393">
        <f ca="1">IFERROR(__xludf.DUMMYFUNCTION("IMPORTRANGE(""https://docs.google.com/spreadsheets/d/11923uPwbBZFjjGgGUA6NLw09EwE0CqkOc4q9oUmW1yo/edit?usp=sharing"",""สุโขทัย!J324"")"),10)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IFERROR(__xludf.DUMMYFUNCTION("IMPORTRANGE(""https://docs.google.com/spreadsheets/d/11923uPwbBZFjjGgGUA6NLw09EwE0CqkOc4q9oUmW1yo/edit?usp=sharing"",""สุโขทัย!I325"")"),85)</f>
        <v>85</v>
      </c>
      <c r="J430" s="391">
        <f ca="1">IFERROR(__xludf.DUMMYFUNCTION("IMPORTRANGE(""https://docs.google.com/spreadsheets/d/11923uPwbBZFjjGgGUA6NLw09EwE0CqkOc4q9oUmW1yo/edit?usp=sharing"",""สุโขทัย!J325"")"),75)</f>
        <v>75</v>
      </c>
      <c r="K430" s="201">
        <f t="shared" ca="1" si="113"/>
        <v>88.235294117647058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IFERROR(__xludf.DUMMYFUNCTION("IMPORTRANGE(""https://docs.google.com/spreadsheets/d/11923uPwbBZFjjGgGUA6NLw09EwE0CqkOc4q9oUmW1yo/edit?usp=sharing"",""สุโขทัย!I326"")"),10)</f>
        <v>10</v>
      </c>
      <c r="J431" s="393">
        <f ca="1">IFERROR(__xludf.DUMMYFUNCTION("IMPORTRANGE(""https://docs.google.com/spreadsheets/d/11923uPwbBZFjjGgGUA6NLw09EwE0CqkOc4q9oUmW1yo/edit?usp=sharing"",""สุโขทัย!J326"")"),0)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IFERROR(__xludf.DUMMYFUNCTION("IMPORTRANGE(""https://docs.google.com/spreadsheets/d/11923uPwbBZFjjGgGUA6NLw09EwE0CqkOc4q9oUmW1yo/edit?usp=sharing"",""สุโขทัย!I327"")"),75)</f>
        <v>75</v>
      </c>
      <c r="J432" s="393">
        <f ca="1">IFERROR(__xludf.DUMMYFUNCTION("IMPORTRANGE(""https://docs.google.com/spreadsheets/d/11923uPwbBZFjjGgGUA6NLw09EwE0CqkOc4q9oUmW1yo/edit?usp=sharing"",""สุโขทัย!J327"")"),75)</f>
        <v>75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IFERROR(__xludf.DUMMYFUNCTION("IMPORTRANGE(""https://docs.google.com/spreadsheets/d/11923uPwbBZFjjGgGUA6NLw09EwE0CqkOc4q9oUmW1yo/edit?usp=sharing"",""สุโขทัย!J328"")"),0)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IFERROR(__xludf.DUMMYFUNCTION("IMPORTRANGE(""https://docs.google.com/spreadsheets/d/11923uPwbBZFjjGgGUA6NLw09EwE0CqkOc4q9oUmW1yo/edit?usp=sharing"",""สุโขทัย!J329"")"),0)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IFERROR(__xludf.DUMMYFUNCTION("IMPORTRANGE(""https://docs.google.com/spreadsheets/d/11923uPwbBZFjjGgGUA6NLw09EwE0CqkOc4q9oUmW1yo/edit?usp=sharing"",""สุโขทัย!I330"")"),81)</f>
        <v>81</v>
      </c>
      <c r="J435" s="409">
        <f ca="1">IFERROR(__xludf.DUMMYFUNCTION("IMPORTRANGE(""https://docs.google.com/spreadsheets/d/11923uPwbBZFjjGgGUA6NLw09EwE0CqkOc4q9oUmW1yo/edit?usp=sharing"",""สุโขทัย!J330"")"),81)</f>
        <v>81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IFERROR(__xludf.DUMMYFUNCTION("IMPORTRANGE(""https://docs.google.com/spreadsheets/d/11923uPwbBZFjjGgGUA6NLw09EwE0CqkOc4q9oUmW1yo/edit?usp=sharing"",""สุโขทัย!L330"")"),223000)</f>
        <v>223000</v>
      </c>
      <c r="M435" s="411"/>
      <c r="N435" s="411">
        <f ca="1">IFERROR(__xludf.DUMMYFUNCTION("IMPORTRANGE(""https://docs.google.com/spreadsheets/d/11923uPwbBZFjjGgGUA6NLw09EwE0CqkOc4q9oUmW1yo/edit?usp=sharing"",""สุโขทัย!M330"")"),178090)</f>
        <v>178090</v>
      </c>
      <c r="O435" s="411">
        <f t="shared" ref="O435:O439" ca="1" si="114">+IF(L435&gt;0,N435*100/L435,0)</f>
        <v>79.860986547085204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IFERROR(__xludf.DUMMYFUNCTION("IMPORTRANGE(""https://docs.google.com/spreadsheets/d/11923uPwbBZFjjGgGUA6NLw09EwE0CqkOc4q9oUmW1yo/edit?usp=sharing"",""สุโขทัย!L331"")"),0)</f>
        <v>0</v>
      </c>
      <c r="M436" s="164"/>
      <c r="N436" s="168">
        <f ca="1">IFERROR(__xludf.DUMMYFUNCTION("IMPORTRANGE(""https://docs.google.com/spreadsheets/d/11923uPwbBZFjjGgGUA6NLw09EwE0CqkOc4q9oUmW1yo/edit?usp=sharing"",""สุโขทัย!M331"")"),0)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IFERROR(__xludf.DUMMYFUNCTION("IMPORTRANGE(""https://docs.google.com/spreadsheets/d/11923uPwbBZFjjGgGUA6NLw09EwE0CqkOc4q9oUmW1yo/edit?usp=sharing"",""สุโขทัย!L332"")"),223000)</f>
        <v>223000</v>
      </c>
      <c r="M437" s="165"/>
      <c r="N437" s="168">
        <f ca="1">IFERROR(__xludf.DUMMYFUNCTION("IMPORTRANGE(""https://docs.google.com/spreadsheets/d/11923uPwbBZFjjGgGUA6NLw09EwE0CqkOc4q9oUmW1yo/edit?usp=sharing"",""สุโขทัย!M332"")"),178090)</f>
        <v>178090</v>
      </c>
      <c r="O437" s="168">
        <f t="shared" ca="1" si="114"/>
        <v>79.860986547085204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IFERROR(__xludf.DUMMYFUNCTION("IMPORTRANGE(""https://docs.google.com/spreadsheets/d/11923uPwbBZFjjGgGUA6NLw09EwE0CqkOc4q9oUmW1yo/edit?usp=sharing"",""สุโขทัย!L333"")"),0)</f>
        <v>0</v>
      </c>
      <c r="M438" s="168"/>
      <c r="N438" s="168">
        <f ca="1">IFERROR(__xludf.DUMMYFUNCTION("IMPORTRANGE(""https://docs.google.com/spreadsheets/d/11923uPwbBZFjjGgGUA6NLw09EwE0CqkOc4q9oUmW1yo/edit?usp=sharing"",""สุโขทัย!M333"")"),0)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IFERROR(__xludf.DUMMYFUNCTION("IMPORTRANGE(""https://docs.google.com/spreadsheets/d/11923uPwbBZFjjGgGUA6NLw09EwE0CqkOc4q9oUmW1yo/edit?usp=sharing"",""สุโขทัย!L334"")"),223000)</f>
        <v>223000</v>
      </c>
      <c r="M439" s="168"/>
      <c r="N439" s="168">
        <f ca="1">IFERROR(__xludf.DUMMYFUNCTION("IMPORTRANGE(""https://docs.google.com/spreadsheets/d/11923uPwbBZFjjGgGUA6NLw09EwE0CqkOc4q9oUmW1yo/edit?usp=sharing"",""สุโขทัย!M334"")"),178090)</f>
        <v>178090</v>
      </c>
      <c r="O439" s="168">
        <f t="shared" ca="1" si="114"/>
        <v>79.860986547085204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IFERROR(__xludf.DUMMYFUNCTION("IMPORTRANGE(""https://docs.google.com/spreadsheets/d/11923uPwbBZFjjGgGUA6NLw09EwE0CqkOc4q9oUmW1yo/edit?usp=sharing"",""สุโขทัย!M335"")"),167200)</f>
        <v>167200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IFERROR(__xludf.DUMMYFUNCTION("IMPORTRANGE(""https://docs.google.com/spreadsheets/d/11923uPwbBZFjjGgGUA6NLw09EwE0CqkOc4q9oUmW1yo/edit?usp=sharing"",""สุโขทัย!M336"")"),0)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IFERROR(__xludf.DUMMYFUNCTION("IMPORTRANGE(""https://docs.google.com/spreadsheets/d/11923uPwbBZFjjGgGUA6NLw09EwE0CqkOc4q9oUmW1yo/edit?usp=sharing"",""สุโขทัย!M337"")"),0)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IFERROR(__xludf.DUMMYFUNCTION("IMPORTRANGE(""https://docs.google.com/spreadsheets/d/11923uPwbBZFjjGgGUA6NLw09EwE0CqkOc4q9oUmW1yo/edit?usp=sharing"",""สุโขทัย!M338"")"),10890)</f>
        <v>10890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IFERROR(__xludf.DUMMYFUNCTION("IMPORTRANGE(""https://docs.google.com/spreadsheets/d/11923uPwbBZFjjGgGUA6NLw09EwE0CqkOc4q9oUmW1yo/edit?usp=sharing"",""สุโขทัย!J340"")"),0)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IFERROR(__xludf.DUMMYFUNCTION("IMPORTRANGE(""https://docs.google.com/spreadsheets/d/11923uPwbBZFjjGgGUA6NLw09EwE0CqkOc4q9oUmW1yo/edit?usp=sharing"",""สุโขทัย!J341"")"),1)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IFERROR(__xludf.DUMMYFUNCTION("IMPORTRANGE(""https://docs.google.com/spreadsheets/d/11923uPwbBZFjjGgGUA6NLw09EwE0CqkOc4q9oUmW1yo/edit?usp=sharing"",""สุโขทัย!J342"")"),1)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IFERROR(__xludf.DUMMYFUNCTION("IMPORTRANGE(""https://docs.google.com/spreadsheets/d/11923uPwbBZFjjGgGUA6NLw09EwE0CqkOc4q9oUmW1yo/edit?usp=sharing"",""สุโขทัย!J343"")"),1)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IFERROR(__xludf.DUMMYFUNCTION("IMPORTRANGE(""https://docs.google.com/spreadsheets/d/11923uPwbBZFjjGgGUA6NLw09EwE0CqkOc4q9oUmW1yo/edit?usp=sharing"",""สุโขทัย!I344"")"),81)</f>
        <v>81</v>
      </c>
      <c r="J449" s="200">
        <f ca="1">IFERROR(__xludf.DUMMYFUNCTION("IMPORTRANGE(""https://docs.google.com/spreadsheets/d/11923uPwbBZFjjGgGUA6NLw09EwE0CqkOc4q9oUmW1yo/edit?usp=sharing"",""สุโขทัย!J344"")"),81)</f>
        <v>81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IFERROR(__xludf.DUMMYFUNCTION("IMPORTRANGE(""https://docs.google.com/spreadsheets/d/11923uPwbBZFjjGgGUA6NLw09EwE0CqkOc4q9oUmW1yo/edit?usp=sharing"",""สุโขทัย!I345"")"),22)</f>
        <v>22</v>
      </c>
      <c r="J450" s="188">
        <f ca="1">IFERROR(__xludf.DUMMYFUNCTION("IMPORTRANGE(""https://docs.google.com/spreadsheets/d/11923uPwbBZFjjGgGUA6NLw09EwE0CqkOc4q9oUmW1yo/edit?usp=sharing"",""สุโขทัย!J345"")"),22)</f>
        <v>22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IFERROR(__xludf.DUMMYFUNCTION("IMPORTRANGE(""https://docs.google.com/spreadsheets/d/11923uPwbBZFjjGgGUA6NLw09EwE0CqkOc4q9oUmW1yo/edit?usp=sharing"",""สุโขทัย!I346"")"),59)</f>
        <v>59</v>
      </c>
      <c r="J451" s="187">
        <f ca="1">IFERROR(__xludf.DUMMYFUNCTION("IMPORTRANGE(""https://docs.google.com/spreadsheets/d/11923uPwbBZFjjGgGUA6NLw09EwE0CqkOc4q9oUmW1yo/edit?usp=sharing"",""สุโขทัย!J346"")"),59)</f>
        <v>59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IFERROR(__xludf.DUMMYFUNCTION("IMPORTRANGE(""https://docs.google.com/spreadsheets/d/11923uPwbBZFjjGgGUA6NLw09EwE0CqkOc4q9oUmW1yo/edit?usp=sharing"",""สุโขทัย!I347"")"),0)</f>
        <v>0</v>
      </c>
      <c r="J452" s="187">
        <f ca="1">IFERROR(__xludf.DUMMYFUNCTION("IMPORTRANGE(""https://docs.google.com/spreadsheets/d/11923uPwbBZFjjGgGUA6NLw09EwE0CqkOc4q9oUmW1yo/edit?usp=sharing"",""สุโขทัย!J347"")"),0)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IFERROR(__xludf.DUMMYFUNCTION("IMPORTRANGE(""https://docs.google.com/spreadsheets/d/11923uPwbBZFjjGgGUA6NLw09EwE0CqkOc4q9oUmW1yo/edit?usp=sharing"",""สุโขทัย!J348"")"),0)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IFERROR(__xludf.DUMMYFUNCTION("IMPORTRANGE(""https://docs.google.com/spreadsheets/d/11923uPwbBZFjjGgGUA6NLw09EwE0CqkOc4q9oUmW1yo/edit?usp=sharing"",""สุโขทัย!J349"")"),0)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IFERROR(__xludf.DUMMYFUNCTION("IMPORTRANGE(""https://docs.google.com/spreadsheets/d/11923uPwbBZFjjGgGUA6NLw09EwE0CqkOc4q9oUmW1yo/edit?usp=sharing"",""สุโขทัย!I350"")"),35801)</f>
        <v>35801</v>
      </c>
      <c r="J455" s="370">
        <f ca="1">IFERROR(__xludf.DUMMYFUNCTION("IMPORTRANGE(""https://docs.google.com/spreadsheets/d/11923uPwbBZFjjGgGUA6NLw09EwE0CqkOc4q9oUmW1yo/edit?usp=sharing"",""สุโขทัย!J350"")"),30832)</f>
        <v>30832</v>
      </c>
      <c r="K455" s="371">
        <f ca="1">IF(I455&gt;0,J455*100/I455,0)</f>
        <v>86.1204994273903</v>
      </c>
      <c r="L455" s="372">
        <f ca="1">IFERROR(__xludf.DUMMYFUNCTION("IMPORTRANGE(""https://docs.google.com/spreadsheets/d/11923uPwbBZFjjGgGUA6NLw09EwE0CqkOc4q9oUmW1yo/edit?usp=sharing"",""สุโขทัย!L350"")"),424323)</f>
        <v>424323</v>
      </c>
      <c r="M455" s="372"/>
      <c r="N455" s="372">
        <f ca="1">IFERROR(__xludf.DUMMYFUNCTION("IMPORTRANGE(""https://docs.google.com/spreadsheets/d/11923uPwbBZFjjGgGUA6NLw09EwE0CqkOc4q9oUmW1yo/edit?usp=sharing"",""สุโขทัย!M350"")"),235835.19)</f>
        <v>235835.19</v>
      </c>
      <c r="O455" s="372">
        <f t="shared" ref="O455:O459" ca="1" si="116">+IF(L455&gt;0,N455*100/L455,0)</f>
        <v>55.579167285299171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IFERROR(__xludf.DUMMYFUNCTION("IMPORTRANGE(""https://docs.google.com/spreadsheets/d/11923uPwbBZFjjGgGUA6NLw09EwE0CqkOc4q9oUmW1yo/edit?usp=sharing"",""สุโขทัย!L351"")"),0)</f>
        <v>0</v>
      </c>
      <c r="M456" s="164"/>
      <c r="N456" s="168">
        <f ca="1">IFERROR(__xludf.DUMMYFUNCTION("IMPORTRANGE(""https://docs.google.com/spreadsheets/d/11923uPwbBZFjjGgGUA6NLw09EwE0CqkOc4q9oUmW1yo/edit?usp=sharing"",""สุโขทัย!M351"")"),0)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IFERROR(__xludf.DUMMYFUNCTION("IMPORTRANGE(""https://docs.google.com/spreadsheets/d/11923uPwbBZFjjGgGUA6NLw09EwE0CqkOc4q9oUmW1yo/edit?usp=sharing"",""สุโขทัย!L352"")"),424323)</f>
        <v>424323</v>
      </c>
      <c r="M457" s="165"/>
      <c r="N457" s="168">
        <f ca="1">IFERROR(__xludf.DUMMYFUNCTION("IMPORTRANGE(""https://docs.google.com/spreadsheets/d/11923uPwbBZFjjGgGUA6NLw09EwE0CqkOc4q9oUmW1yo/edit?usp=sharing"",""สุโขทัย!M352"")"),235835.19)</f>
        <v>235835.19</v>
      </c>
      <c r="O457" s="168">
        <f t="shared" ca="1" si="116"/>
        <v>55.579167285299171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IFERROR(__xludf.DUMMYFUNCTION("IMPORTRANGE(""https://docs.google.com/spreadsheets/d/11923uPwbBZFjjGgGUA6NLw09EwE0CqkOc4q9oUmW1yo/edit?usp=sharing"",""สุโขทัย!L353"")"),0)</f>
        <v>0</v>
      </c>
      <c r="M458" s="168"/>
      <c r="N458" s="168">
        <f ca="1">IFERROR(__xludf.DUMMYFUNCTION("IMPORTRANGE(""https://docs.google.com/spreadsheets/d/11923uPwbBZFjjGgGUA6NLw09EwE0CqkOc4q9oUmW1yo/edit?usp=sharing"",""สุโขทัย!M353"")"),0)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IFERROR(__xludf.DUMMYFUNCTION("IMPORTRANGE(""https://docs.google.com/spreadsheets/d/11923uPwbBZFjjGgGUA6NLw09EwE0CqkOc4q9oUmW1yo/edit?usp=sharing"",""สุโขทัย!L354"")"),424323)</f>
        <v>424323</v>
      </c>
      <c r="M459" s="168"/>
      <c r="N459" s="168">
        <f ca="1">IFERROR(__xludf.DUMMYFUNCTION("IMPORTRANGE(""https://docs.google.com/spreadsheets/d/11923uPwbBZFjjGgGUA6NLw09EwE0CqkOc4q9oUmW1yo/edit?usp=sharing"",""สุโขทัย!M354"")"),235835.19)</f>
        <v>235835.19</v>
      </c>
      <c r="O459" s="168">
        <f t="shared" ca="1" si="116"/>
        <v>55.579167285299171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IFERROR(__xludf.DUMMYFUNCTION("IMPORTRANGE(""https://docs.google.com/spreadsheets/d/11923uPwbBZFjjGgGUA6NLw09EwE0CqkOc4q9oUmW1yo/edit?usp=sharing"",""สุโขทัย!M355"")"),0)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IFERROR(__xludf.DUMMYFUNCTION("IMPORTRANGE(""https://docs.google.com/spreadsheets/d/11923uPwbBZFjjGgGUA6NLw09EwE0CqkOc4q9oUmW1yo/edit?usp=sharing"",""สุโขทัย!M356"")"),0)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IFERROR(__xludf.DUMMYFUNCTION("IMPORTRANGE(""https://docs.google.com/spreadsheets/d/11923uPwbBZFjjGgGUA6NLw09EwE0CqkOc4q9oUmW1yo/edit?usp=sharing"",""สุโขทัย!M357"")"),64900)</f>
        <v>64900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IFERROR(__xludf.DUMMYFUNCTION("IMPORTRANGE(""https://docs.google.com/spreadsheets/d/11923uPwbBZFjjGgGUA6NLw09EwE0CqkOc4q9oUmW1yo/edit?usp=sharing"",""สุโขทัย!M358"")"),170935.19)</f>
        <v>170935.19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IFERROR(__xludf.DUMMYFUNCTION("IMPORTRANGE(""https://docs.google.com/spreadsheets/d/11923uPwbBZFjjGgGUA6NLw09EwE0CqkOc4q9oUmW1yo/edit?usp=sharing"",""สุโขทัย!I359"")"),35801)</f>
        <v>35801</v>
      </c>
      <c r="J464" s="267">
        <f ca="1">IFERROR(__xludf.DUMMYFUNCTION("IMPORTRANGE(""https://docs.google.com/spreadsheets/d/11923uPwbBZFjjGgGUA6NLw09EwE0CqkOc4q9oUmW1yo/edit?usp=sharing"",""สุโขทัย!J359"")"),30832)</f>
        <v>30832</v>
      </c>
      <c r="K464" s="268">
        <f t="shared" ref="K464:K515" ca="1" si="117">IF(I464&gt;0,J464*100/I464,0)</f>
        <v>86.1204994273903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IFERROR(__xludf.DUMMYFUNCTION("IMPORTRANGE(""https://docs.google.com/spreadsheets/d/11923uPwbBZFjjGgGUA6NLw09EwE0CqkOc4q9oUmW1yo/edit?usp=sharing"",""สุโขทัย!I360"")"),35801)</f>
        <v>35801</v>
      </c>
      <c r="J465" s="420">
        <f ca="1">IFERROR(__xludf.DUMMYFUNCTION("IMPORTRANGE(""https://docs.google.com/spreadsheets/d/11923uPwbBZFjjGgGUA6NLw09EwE0CqkOc4q9oUmW1yo/edit?usp=sharing"",""สุโขทัย!J360"")"),35801)</f>
        <v>35801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IFERROR(__xludf.DUMMYFUNCTION("IMPORTRANGE(""https://docs.google.com/spreadsheets/d/11923uPwbBZFjjGgGUA6NLw09EwE0CqkOc4q9oUmW1yo/edit?usp=sharing"",""สุโขทัย!I361"")"),4578)</f>
        <v>4578</v>
      </c>
      <c r="J466" s="420">
        <f ca="1">IFERROR(__xludf.DUMMYFUNCTION("IMPORTRANGE(""https://docs.google.com/spreadsheets/d/11923uPwbBZFjjGgGUA6NLw09EwE0CqkOc4q9oUmW1yo/edit?usp=sharing"",""สุโขทัย!J361"")"),4578)</f>
        <v>4578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IFERROR(__xludf.DUMMYFUNCTION("IMPORTRANGE(""https://docs.google.com/spreadsheets/d/11923uPwbBZFjjGgGUA6NLw09EwE0CqkOc4q9oUmW1yo/edit?usp=sharing"",""สุโขทัย!I362"")"),0)</f>
        <v>0</v>
      </c>
      <c r="J467" s="188">
        <f ca="1">IFERROR(__xludf.DUMMYFUNCTION("IMPORTRANGE(""https://docs.google.com/spreadsheets/d/11923uPwbBZFjjGgGUA6NLw09EwE0CqkOc4q9oUmW1yo/edit?usp=sharing"",""สุโขทัย!J362"")"),22957)</f>
        <v>22957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IFERROR(__xludf.DUMMYFUNCTION("IMPORTRANGE(""https://docs.google.com/spreadsheets/d/11923uPwbBZFjjGgGUA6NLw09EwE0CqkOc4q9oUmW1yo/edit?usp=sharing"",""สุโขทัย!I363"")"),0)</f>
        <v>0</v>
      </c>
      <c r="J468" s="188">
        <f ca="1">IFERROR(__xludf.DUMMYFUNCTION("IMPORTRANGE(""https://docs.google.com/spreadsheets/d/11923uPwbBZFjjGgGUA6NLw09EwE0CqkOc4q9oUmW1yo/edit?usp=sharing"",""สุโขทัย!J363"")"),2801)</f>
        <v>2801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IFERROR(__xludf.DUMMYFUNCTION("IMPORTRANGE(""https://docs.google.com/spreadsheets/d/11923uPwbBZFjjGgGUA6NLw09EwE0CqkOc4q9oUmW1yo/edit?usp=sharing"",""สุโขทัย!I364"")"),0)</f>
        <v>0</v>
      </c>
      <c r="J469" s="188">
        <f ca="1">IFERROR(__xludf.DUMMYFUNCTION("IMPORTRANGE(""https://docs.google.com/spreadsheets/d/11923uPwbBZFjjGgGUA6NLw09EwE0CqkOc4q9oUmW1yo/edit?usp=sharing"",""สุโขทัย!J364"")"),12109)</f>
        <v>12109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IFERROR(__xludf.DUMMYFUNCTION("IMPORTRANGE(""https://docs.google.com/spreadsheets/d/11923uPwbBZFjjGgGUA6NLw09EwE0CqkOc4q9oUmW1yo/edit?usp=sharing"",""สุโขทัย!I365"")"),0)</f>
        <v>0</v>
      </c>
      <c r="J470" s="188">
        <f ca="1">IFERROR(__xludf.DUMMYFUNCTION("IMPORTRANGE(""https://docs.google.com/spreadsheets/d/11923uPwbBZFjjGgGUA6NLw09EwE0CqkOc4q9oUmW1yo/edit?usp=sharing"",""สุโขทัย!J365"")"),1697)</f>
        <v>1697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IFERROR(__xludf.DUMMYFUNCTION("IMPORTRANGE(""https://docs.google.com/spreadsheets/d/11923uPwbBZFjjGgGUA6NLw09EwE0CqkOc4q9oUmW1yo/edit?usp=sharing"",""สุโขทัย!I366"")"),0)</f>
        <v>0</v>
      </c>
      <c r="J471" s="188">
        <f ca="1">IFERROR(__xludf.DUMMYFUNCTION("IMPORTRANGE(""https://docs.google.com/spreadsheets/d/11923uPwbBZFjjGgGUA6NLw09EwE0CqkOc4q9oUmW1yo/edit?usp=sharing"",""สุโขทัย!J366"")"),735)</f>
        <v>735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IFERROR(__xludf.DUMMYFUNCTION("IMPORTRANGE(""https://docs.google.com/spreadsheets/d/11923uPwbBZFjjGgGUA6NLw09EwE0CqkOc4q9oUmW1yo/edit?usp=sharing"",""สุโขทัย!I367"")"),0)</f>
        <v>0</v>
      </c>
      <c r="J472" s="188">
        <f ca="1">IFERROR(__xludf.DUMMYFUNCTION("IMPORTRANGE(""https://docs.google.com/spreadsheets/d/11923uPwbBZFjjGgGUA6NLw09EwE0CqkOc4q9oUmW1yo/edit?usp=sharing"",""สุโขทัย!J367"")"),80)</f>
        <v>80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IFERROR(__xludf.DUMMYFUNCTION("IMPORTRANGE(""https://docs.google.com/spreadsheets/d/11923uPwbBZFjjGgGUA6NLw09EwE0CqkOc4q9oUmW1yo/edit?usp=sharing"",""สุโขทัย!I368"")"),35801)</f>
        <v>35801</v>
      </c>
      <c r="J473" s="420">
        <f ca="1">IFERROR(__xludf.DUMMYFUNCTION("IMPORTRANGE(""https://docs.google.com/spreadsheets/d/11923uPwbBZFjjGgGUA6NLw09EwE0CqkOc4q9oUmW1yo/edit?usp=sharing"",""สุโขทัย!J368"")"),35802)</f>
        <v>35802</v>
      </c>
      <c r="K473" s="201">
        <f t="shared" ca="1" si="117"/>
        <v>100.00279321806653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IFERROR(__xludf.DUMMYFUNCTION("IMPORTRANGE(""https://docs.google.com/spreadsheets/d/11923uPwbBZFjjGgGUA6NLw09EwE0CqkOc4q9oUmW1yo/edit?usp=sharing"",""สุโขทัย!I369"")"),4578)</f>
        <v>4578</v>
      </c>
      <c r="J474" s="420">
        <f ca="1">IFERROR(__xludf.DUMMYFUNCTION("IMPORTRANGE(""https://docs.google.com/spreadsheets/d/11923uPwbBZFjjGgGUA6NLw09EwE0CqkOc4q9oUmW1yo/edit?usp=sharing"",""สุโขทัย!J369"")"),4578)</f>
        <v>4578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IFERROR(__xludf.DUMMYFUNCTION("IMPORTRANGE(""https://docs.google.com/spreadsheets/d/11923uPwbBZFjjGgGUA6NLw09EwE0CqkOc4q9oUmW1yo/edit?usp=sharing"",""สุโขทัย!I370"")"),0)</f>
        <v>0</v>
      </c>
      <c r="J475" s="188">
        <f ca="1">IFERROR(__xludf.DUMMYFUNCTION("IMPORTRANGE(""https://docs.google.com/spreadsheets/d/11923uPwbBZFjjGgGUA6NLw09EwE0CqkOc4q9oUmW1yo/edit?usp=sharing"",""สุโขทัย!J370"")"),30832)</f>
        <v>30832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IFERROR(__xludf.DUMMYFUNCTION("IMPORTRANGE(""https://docs.google.com/spreadsheets/d/11923uPwbBZFjjGgGUA6NLw09EwE0CqkOc4q9oUmW1yo/edit?usp=sharing"",""สุโขทัย!I371"")"),0)</f>
        <v>0</v>
      </c>
      <c r="J476" s="188">
        <f ca="1">IFERROR(__xludf.DUMMYFUNCTION("IMPORTRANGE(""https://docs.google.com/spreadsheets/d/11923uPwbBZFjjGgGUA6NLw09EwE0CqkOc4q9oUmW1yo/edit?usp=sharing"",""สุโขทัย!J371"")"),4045)</f>
        <v>4045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IFERROR(__xludf.DUMMYFUNCTION("IMPORTRANGE(""https://docs.google.com/spreadsheets/d/11923uPwbBZFjjGgGUA6NLw09EwE0CqkOc4q9oUmW1yo/edit?usp=sharing"",""สุโขทัย!I372"")"),0)</f>
        <v>0</v>
      </c>
      <c r="J477" s="188">
        <f ca="1">IFERROR(__xludf.DUMMYFUNCTION("IMPORTRANGE(""https://docs.google.com/spreadsheets/d/11923uPwbBZFjjGgGUA6NLw09EwE0CqkOc4q9oUmW1yo/edit?usp=sharing"",""สุโขทัย!J372"")"),4158)</f>
        <v>4158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IFERROR(__xludf.DUMMYFUNCTION("IMPORTRANGE(""https://docs.google.com/spreadsheets/d/11923uPwbBZFjjGgGUA6NLw09EwE0CqkOc4q9oUmW1yo/edit?usp=sharing"",""สุโขทัย!I373"")"),0)</f>
        <v>0</v>
      </c>
      <c r="J478" s="188">
        <f ca="1">IFERROR(__xludf.DUMMYFUNCTION("IMPORTRANGE(""https://docs.google.com/spreadsheets/d/11923uPwbBZFjjGgGUA6NLw09EwE0CqkOc4q9oUmW1yo/edit?usp=sharing"",""สุโขทัย!J373"")"),444)</f>
        <v>444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IFERROR(__xludf.DUMMYFUNCTION("IMPORTRANGE(""https://docs.google.com/spreadsheets/d/11923uPwbBZFjjGgGUA6NLw09EwE0CqkOc4q9oUmW1yo/edit?usp=sharing"",""สุโขทัย!I374"")"),0)</f>
        <v>0</v>
      </c>
      <c r="J479" s="188">
        <f ca="1">IFERROR(__xludf.DUMMYFUNCTION("IMPORTRANGE(""https://docs.google.com/spreadsheets/d/11923uPwbBZFjjGgGUA6NLw09EwE0CqkOc4q9oUmW1yo/edit?usp=sharing"",""สุโขทัย!J374"")"),812)</f>
        <v>812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IFERROR(__xludf.DUMMYFUNCTION("IMPORTRANGE(""https://docs.google.com/spreadsheets/d/11923uPwbBZFjjGgGUA6NLw09EwE0CqkOc4q9oUmW1yo/edit?usp=sharing"",""สุโขทัย!I375"")"),0)</f>
        <v>0</v>
      </c>
      <c r="J480" s="188">
        <f ca="1">IFERROR(__xludf.DUMMYFUNCTION("IMPORTRANGE(""https://docs.google.com/spreadsheets/d/11923uPwbBZFjjGgGUA6NLw09EwE0CqkOc4q9oUmW1yo/edit?usp=sharing"",""สุโขทัย!J375"")"),89)</f>
        <v>89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IFERROR(__xludf.DUMMYFUNCTION("IMPORTRANGE(""https://docs.google.com/spreadsheets/d/11923uPwbBZFjjGgGUA6NLw09EwE0CqkOc4q9oUmW1yo/edit?usp=sharing"",""สุโขทัย!I376"")"),35801)</f>
        <v>35801</v>
      </c>
      <c r="J481" s="420">
        <f ca="1">IFERROR(__xludf.DUMMYFUNCTION("IMPORTRANGE(""https://docs.google.com/spreadsheets/d/11923uPwbBZFjjGgGUA6NLw09EwE0CqkOc4q9oUmW1yo/edit?usp=sharing"",""สุโขทัย!J376"")"),30832)</f>
        <v>30832</v>
      </c>
      <c r="K481" s="201">
        <f t="shared" ca="1" si="117"/>
        <v>86.1204994273903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IFERROR(__xludf.DUMMYFUNCTION("IMPORTRANGE(""https://docs.google.com/spreadsheets/d/11923uPwbBZFjjGgGUA6NLw09EwE0CqkOc4q9oUmW1yo/edit?usp=sharing"",""สุโขทัย!I377"")"),4578)</f>
        <v>4578</v>
      </c>
      <c r="J482" s="420">
        <f ca="1">IFERROR(__xludf.DUMMYFUNCTION("IMPORTRANGE(""https://docs.google.com/spreadsheets/d/11923uPwbBZFjjGgGUA6NLw09EwE0CqkOc4q9oUmW1yo/edit?usp=sharing"",""สุโขทัย!J377"")"),4045)</f>
        <v>4045</v>
      </c>
      <c r="K482" s="201">
        <f t="shared" ca="1" si="117"/>
        <v>88.357361293141111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IFERROR(__xludf.DUMMYFUNCTION("IMPORTRANGE(""https://docs.google.com/spreadsheets/d/11923uPwbBZFjjGgGUA6NLw09EwE0CqkOc4q9oUmW1yo/edit?usp=sharing"",""สุโขทัย!I378"")"),0)</f>
        <v>0</v>
      </c>
      <c r="J483" s="188">
        <f ca="1">IFERROR(__xludf.DUMMYFUNCTION("IMPORTRANGE(""https://docs.google.com/spreadsheets/d/11923uPwbBZFjjGgGUA6NLw09EwE0CqkOc4q9oUmW1yo/edit?usp=sharing"",""สุโขทัย!J378"")"),30832)</f>
        <v>30832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IFERROR(__xludf.DUMMYFUNCTION("IMPORTRANGE(""https://docs.google.com/spreadsheets/d/11923uPwbBZFjjGgGUA6NLw09EwE0CqkOc4q9oUmW1yo/edit?usp=sharing"",""สุโขทัย!I379"")"),0)</f>
        <v>0</v>
      </c>
      <c r="J484" s="188">
        <f ca="1">IFERROR(__xludf.DUMMYFUNCTION("IMPORTRANGE(""https://docs.google.com/spreadsheets/d/11923uPwbBZFjjGgGUA6NLw09EwE0CqkOc4q9oUmW1yo/edit?usp=sharing"",""สุโขทัย!J379"")"),4045)</f>
        <v>4045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IFERROR(__xludf.DUMMYFUNCTION("IMPORTRANGE(""https://docs.google.com/spreadsheets/d/11923uPwbBZFjjGgGUA6NLw09EwE0CqkOc4q9oUmW1yo/edit?usp=sharing"",""สุโขทัย!I380"")"),0)</f>
        <v>0</v>
      </c>
      <c r="J485" s="188">
        <f ca="1">IFERROR(__xludf.DUMMYFUNCTION("IMPORTRANGE(""https://docs.google.com/spreadsheets/d/11923uPwbBZFjjGgGUA6NLw09EwE0CqkOc4q9oUmW1yo/edit?usp=sharing"",""สุโขทัย!J380"")"),0)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IFERROR(__xludf.DUMMYFUNCTION("IMPORTRANGE(""https://docs.google.com/spreadsheets/d/11923uPwbBZFjjGgGUA6NLw09EwE0CqkOc4q9oUmW1yo/edit?usp=sharing"",""สุโขทัย!I381"")"),0)</f>
        <v>0</v>
      </c>
      <c r="J486" s="188">
        <f ca="1">IFERROR(__xludf.DUMMYFUNCTION("IMPORTRANGE(""https://docs.google.com/spreadsheets/d/11923uPwbBZFjjGgGUA6NLw09EwE0CqkOc4q9oUmW1yo/edit?usp=sharing"",""สุโขทัย!J381"")"),0)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IFERROR(__xludf.DUMMYFUNCTION("IMPORTRANGE(""https://docs.google.com/spreadsheets/d/11923uPwbBZFjjGgGUA6NLw09EwE0CqkOc4q9oUmW1yo/edit?usp=sharing"",""สุโขทัย!I382"")"),0)</f>
        <v>0</v>
      </c>
      <c r="J487" s="420">
        <f ca="1">IFERROR(__xludf.DUMMYFUNCTION("IMPORTRANGE(""https://docs.google.com/spreadsheets/d/11923uPwbBZFjjGgGUA6NLw09EwE0CqkOc4q9oUmW1yo/edit?usp=sharing"",""สุโขทัย!J382"")"),0)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IFERROR(__xludf.DUMMYFUNCTION("IMPORTRANGE(""https://docs.google.com/spreadsheets/d/11923uPwbBZFjjGgGUA6NLw09EwE0CqkOc4q9oUmW1yo/edit?usp=sharing"",""สุโขทัย!I383"")"),0)</f>
        <v>0</v>
      </c>
      <c r="J488" s="420">
        <f ca="1">IFERROR(__xludf.DUMMYFUNCTION("IMPORTRANGE(""https://docs.google.com/spreadsheets/d/11923uPwbBZFjjGgGUA6NLw09EwE0CqkOc4q9oUmW1yo/edit?usp=sharing"",""สุโขทัย!J383"")"),0)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IFERROR(__xludf.DUMMYFUNCTION("IMPORTRANGE(""https://docs.google.com/spreadsheets/d/11923uPwbBZFjjGgGUA6NLw09EwE0CqkOc4q9oUmW1yo/edit?usp=sharing"",""สุโขทัย!I384"")"),0)</f>
        <v>0</v>
      </c>
      <c r="J489" s="188">
        <f ca="1">IFERROR(__xludf.DUMMYFUNCTION("IMPORTRANGE(""https://docs.google.com/spreadsheets/d/11923uPwbBZFjjGgGUA6NLw09EwE0CqkOc4q9oUmW1yo/edit?usp=sharing"",""สุโขทัย!J384"")"),0)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IFERROR(__xludf.DUMMYFUNCTION("IMPORTRANGE(""https://docs.google.com/spreadsheets/d/11923uPwbBZFjjGgGUA6NLw09EwE0CqkOc4q9oUmW1yo/edit?usp=sharing"",""สุโขทัย!I385"")"),0)</f>
        <v>0</v>
      </c>
      <c r="J490" s="188">
        <f ca="1">IFERROR(__xludf.DUMMYFUNCTION("IMPORTRANGE(""https://docs.google.com/spreadsheets/d/11923uPwbBZFjjGgGUA6NLw09EwE0CqkOc4q9oUmW1yo/edit?usp=sharing"",""สุโขทัย!J385"")"),0)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IFERROR(__xludf.DUMMYFUNCTION("IMPORTRANGE(""https://docs.google.com/spreadsheets/d/11923uPwbBZFjjGgGUA6NLw09EwE0CqkOc4q9oUmW1yo/edit?usp=sharing"",""สุโขทัย!I386"")"),0)</f>
        <v>0</v>
      </c>
      <c r="J491" s="188">
        <f ca="1">IFERROR(__xludf.DUMMYFUNCTION("IMPORTRANGE(""https://docs.google.com/spreadsheets/d/11923uPwbBZFjjGgGUA6NLw09EwE0CqkOc4q9oUmW1yo/edit?usp=sharing"",""สุโขทัย!J386"")"),0)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IFERROR(__xludf.DUMMYFUNCTION("IMPORTRANGE(""https://docs.google.com/spreadsheets/d/11923uPwbBZFjjGgGUA6NLw09EwE0CqkOc4q9oUmW1yo/edit?usp=sharing"",""สุโขทัย!I387"")"),0)</f>
        <v>0</v>
      </c>
      <c r="J492" s="188">
        <f ca="1">IFERROR(__xludf.DUMMYFUNCTION("IMPORTRANGE(""https://docs.google.com/spreadsheets/d/11923uPwbBZFjjGgGUA6NLw09EwE0CqkOc4q9oUmW1yo/edit?usp=sharing"",""สุโขทัย!J387"")"),0)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IFERROR(__xludf.DUMMYFUNCTION("IMPORTRANGE(""https://docs.google.com/spreadsheets/d/11923uPwbBZFjjGgGUA6NLw09EwE0CqkOc4q9oUmW1yo/edit?usp=sharing"",""สุโขทัย!I388"")"),0)</f>
        <v>0</v>
      </c>
      <c r="J493" s="188">
        <f ca="1">IFERROR(__xludf.DUMMYFUNCTION("IMPORTRANGE(""https://docs.google.com/spreadsheets/d/11923uPwbBZFjjGgGUA6NLw09EwE0CqkOc4q9oUmW1yo/edit?usp=sharing"",""สุโขทัย!J388"")"),0)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IFERROR(__xludf.DUMMYFUNCTION("IMPORTRANGE(""https://docs.google.com/spreadsheets/d/11923uPwbBZFjjGgGUA6NLw09EwE0CqkOc4q9oUmW1yo/edit?usp=sharing"",""สุโขทัย!I389"")"),0)</f>
        <v>0</v>
      </c>
      <c r="J494" s="436">
        <f ca="1">IFERROR(__xludf.DUMMYFUNCTION("IMPORTRANGE(""https://docs.google.com/spreadsheets/d/11923uPwbBZFjjGgGUA6NLw09EwE0CqkOc4q9oUmW1yo/edit?usp=sharing"",""สุโขทัย!J389"")"),0)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IFERROR(__xludf.DUMMYFUNCTION("IMPORTRANGE(""https://docs.google.com/spreadsheets/d/11923uPwbBZFjjGgGUA6NLw09EwE0CqkOc4q9oUmW1yo/edit?usp=sharing"",""สุโขทัย!I390"")"),0)</f>
        <v>0</v>
      </c>
      <c r="J495" s="436">
        <f ca="1">IFERROR(__xludf.DUMMYFUNCTION("IMPORTRANGE(""https://docs.google.com/spreadsheets/d/11923uPwbBZFjjGgGUA6NLw09EwE0CqkOc4q9oUmW1yo/edit?usp=sharing"",""สุโขทัย!J390"")"),0)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IFERROR(__xludf.DUMMYFUNCTION("IMPORTRANGE(""https://docs.google.com/spreadsheets/d/11923uPwbBZFjjGgGUA6NLw09EwE0CqkOc4q9oUmW1yo/edit?usp=sharing"",""สุโขทัย!I391"")"),0)</f>
        <v>0</v>
      </c>
      <c r="J496" s="436">
        <f ca="1">IFERROR(__xludf.DUMMYFUNCTION("IMPORTRANGE(""https://docs.google.com/spreadsheets/d/11923uPwbBZFjjGgGUA6NLw09EwE0CqkOc4q9oUmW1yo/edit?usp=sharing"",""สุโขทัย!J391"")"),0)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IFERROR(__xludf.DUMMYFUNCTION("IMPORTRANGE(""https://docs.google.com/spreadsheets/d/11923uPwbBZFjjGgGUA6NLw09EwE0CqkOc4q9oUmW1yo/edit?usp=sharing"",""สุโขทัย!I392"")"),1851)</f>
        <v>1851</v>
      </c>
      <c r="J497" s="443">
        <f ca="1">IFERROR(__xludf.DUMMYFUNCTION("IMPORTRANGE(""https://docs.google.com/spreadsheets/d/11923uPwbBZFjjGgGUA6NLw09EwE0CqkOc4q9oUmW1yo/edit?usp=sharing"",""สุโขทัย!J392"")"),1328)</f>
        <v>1328</v>
      </c>
      <c r="K497" s="444">
        <f t="shared" ca="1" si="117"/>
        <v>71.745002701242569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IFERROR(__xludf.DUMMYFUNCTION("IMPORTRANGE(""https://docs.google.com/spreadsheets/d/11923uPwbBZFjjGgGUA6NLw09EwE0CqkOc4q9oUmW1yo/edit?usp=sharing"",""สุโขทัย!I393"")"),1851)</f>
        <v>1851</v>
      </c>
      <c r="J498" s="420">
        <f ca="1">IFERROR(__xludf.DUMMYFUNCTION("IMPORTRANGE(""https://docs.google.com/spreadsheets/d/11923uPwbBZFjjGgGUA6NLw09EwE0CqkOc4q9oUmW1yo/edit?usp=sharing"",""สุโขทัย!J393"")"),1328)</f>
        <v>1328</v>
      </c>
      <c r="K498" s="163">
        <f t="shared" ca="1" si="117"/>
        <v>71.745002701242569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IFERROR(__xludf.DUMMYFUNCTION("IMPORTRANGE(""https://docs.google.com/spreadsheets/d/11923uPwbBZFjjGgGUA6NLw09EwE0CqkOc4q9oUmW1yo/edit?usp=sharing"",""สุโขทัย!I394"")"),138)</f>
        <v>138</v>
      </c>
      <c r="J499" s="420">
        <f ca="1">IFERROR(__xludf.DUMMYFUNCTION("IMPORTRANGE(""https://docs.google.com/spreadsheets/d/11923uPwbBZFjjGgGUA6NLw09EwE0CqkOc4q9oUmW1yo/edit?usp=sharing"",""สุโขทัย!J394"")"),98)</f>
        <v>98</v>
      </c>
      <c r="K499" s="201">
        <f t="shared" ca="1" si="117"/>
        <v>71.014492753623188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IFERROR(__xludf.DUMMYFUNCTION("IMPORTRANGE(""https://docs.google.com/spreadsheets/d/11923uPwbBZFjjGgGUA6NLw09EwE0CqkOc4q9oUmW1yo/edit?usp=sharing"",""สุโขทัย!I395"")"),0)</f>
        <v>0</v>
      </c>
      <c r="J500" s="162">
        <f ca="1">IFERROR(__xludf.DUMMYFUNCTION("IMPORTRANGE(""https://docs.google.com/spreadsheets/d/11923uPwbBZFjjGgGUA6NLw09EwE0CqkOc4q9oUmW1yo/edit?usp=sharing"",""สุโขทัย!J395"")"),1190)</f>
        <v>1190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IFERROR(__xludf.DUMMYFUNCTION("IMPORTRANGE(""https://docs.google.com/spreadsheets/d/11923uPwbBZFjjGgGUA6NLw09EwE0CqkOc4q9oUmW1yo/edit?usp=sharing"",""สุโขทัย!I396"")"),0)</f>
        <v>0</v>
      </c>
      <c r="J501" s="162">
        <f ca="1">IFERROR(__xludf.DUMMYFUNCTION("IMPORTRANGE(""https://docs.google.com/spreadsheets/d/11923uPwbBZFjjGgGUA6NLw09EwE0CqkOc4q9oUmW1yo/edit?usp=sharing"",""สุโขทัย!J396"")"),89)</f>
        <v>89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IFERROR(__xludf.DUMMYFUNCTION("IMPORTRANGE(""https://docs.google.com/spreadsheets/d/11923uPwbBZFjjGgGUA6NLw09EwE0CqkOc4q9oUmW1yo/edit?usp=sharing"",""สุโขทัย!I397"")"),0)</f>
        <v>0</v>
      </c>
      <c r="J502" s="188">
        <f ca="1">IFERROR(__xludf.DUMMYFUNCTION("IMPORTRANGE(""https://docs.google.com/spreadsheets/d/11923uPwbBZFjjGgGUA6NLw09EwE0CqkOc4q9oUmW1yo/edit?usp=sharing"",""สุโขทัย!J397"")"),1145)</f>
        <v>1145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IFERROR(__xludf.DUMMYFUNCTION("IMPORTRANGE(""https://docs.google.com/spreadsheets/d/11923uPwbBZFjjGgGUA6NLw09EwE0CqkOc4q9oUmW1yo/edit?usp=sharing"",""สุโขทัย!I398"")"),0)</f>
        <v>0</v>
      </c>
      <c r="J503" s="197">
        <f ca="1">IFERROR(__xludf.DUMMYFUNCTION("IMPORTRANGE(""https://docs.google.com/spreadsheets/d/11923uPwbBZFjjGgGUA6NLw09EwE0CqkOc4q9oUmW1yo/edit?usp=sharing"",""สุโขทัย!J398"")"),84)</f>
        <v>84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IFERROR(__xludf.DUMMYFUNCTION("IMPORTRANGE(""https://docs.google.com/spreadsheets/d/11923uPwbBZFjjGgGUA6NLw09EwE0CqkOc4q9oUmW1yo/edit?usp=sharing"",""สุโขทัย!I399"")"),0)</f>
        <v>0</v>
      </c>
      <c r="J504" s="188">
        <f ca="1">IFERROR(__xludf.DUMMYFUNCTION("IMPORTRANGE(""https://docs.google.com/spreadsheets/d/11923uPwbBZFjjGgGUA6NLw09EwE0CqkOc4q9oUmW1yo/edit?usp=sharing"",""สุโขทัย!J399"")"),45)</f>
        <v>45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IFERROR(__xludf.DUMMYFUNCTION("IMPORTRANGE(""https://docs.google.com/spreadsheets/d/11923uPwbBZFjjGgGUA6NLw09EwE0CqkOc4q9oUmW1yo/edit?usp=sharing"",""สุโขทัย!I400"")"),0)</f>
        <v>0</v>
      </c>
      <c r="J505" s="197">
        <f ca="1">IFERROR(__xludf.DUMMYFUNCTION("IMPORTRANGE(""https://docs.google.com/spreadsheets/d/11923uPwbBZFjjGgGUA6NLw09EwE0CqkOc4q9oUmW1yo/edit?usp=sharing"",""สุโขทัย!J400"")"),5)</f>
        <v>5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IFERROR(__xludf.DUMMYFUNCTION("IMPORTRANGE(""https://docs.google.com/spreadsheets/d/11923uPwbBZFjjGgGUA6NLw09EwE0CqkOc4q9oUmW1yo/edit?usp=sharing"",""สุโขทัย!I401"")"),0)</f>
        <v>0</v>
      </c>
      <c r="J506" s="188">
        <f ca="1">IFERROR(__xludf.DUMMYFUNCTION("IMPORTRANGE(""https://docs.google.com/spreadsheets/d/11923uPwbBZFjjGgGUA6NLw09EwE0CqkOc4q9oUmW1yo/edit?usp=sharing"",""สุโขทัย!J401"")"),0)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IFERROR(__xludf.DUMMYFUNCTION("IMPORTRANGE(""https://docs.google.com/spreadsheets/d/11923uPwbBZFjjGgGUA6NLw09EwE0CqkOc4q9oUmW1yo/edit?usp=sharing"",""สุโขทัย!I402"")"),0)</f>
        <v>0</v>
      </c>
      <c r="J507" s="197">
        <f ca="1">IFERROR(__xludf.DUMMYFUNCTION("IMPORTRANGE(""https://docs.google.com/spreadsheets/d/11923uPwbBZFjjGgGUA6NLw09EwE0CqkOc4q9oUmW1yo/edit?usp=sharing"",""สุโขทัย!J402"")"),0)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IFERROR(__xludf.DUMMYFUNCTION("IMPORTRANGE(""https://docs.google.com/spreadsheets/d/11923uPwbBZFjjGgGUA6NLw09EwE0CqkOc4q9oUmW1yo/edit?usp=sharing"",""สุโขทัย!I403"")"),0)</f>
        <v>0</v>
      </c>
      <c r="J508" s="162">
        <f ca="1">IFERROR(__xludf.DUMMYFUNCTION("IMPORTRANGE(""https://docs.google.com/spreadsheets/d/11923uPwbBZFjjGgGUA6NLw09EwE0CqkOc4q9oUmW1yo/edit?usp=sharing"",""สุโขทัย!J403"")"),138)</f>
        <v>138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IFERROR(__xludf.DUMMYFUNCTION("IMPORTRANGE(""https://docs.google.com/spreadsheets/d/11923uPwbBZFjjGgGUA6NLw09EwE0CqkOc4q9oUmW1yo/edit?usp=sharing"",""สุโขทัย!I404"")"),0)</f>
        <v>0</v>
      </c>
      <c r="J509" s="162">
        <f ca="1">IFERROR(__xludf.DUMMYFUNCTION("IMPORTRANGE(""https://docs.google.com/spreadsheets/d/11923uPwbBZFjjGgGUA6NLw09EwE0CqkOc4q9oUmW1yo/edit?usp=sharing"",""สุโขทัย!J404"")"),9)</f>
        <v>9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IFERROR(__xludf.DUMMYFUNCTION("IMPORTRANGE(""https://docs.google.com/spreadsheets/d/11923uPwbBZFjjGgGUA6NLw09EwE0CqkOc4q9oUmW1yo/edit?usp=sharing"",""สุโขทัย!I405"")"),0)</f>
        <v>0</v>
      </c>
      <c r="J510" s="197">
        <f ca="1">IFERROR(__xludf.DUMMYFUNCTION("IMPORTRANGE(""https://docs.google.com/spreadsheets/d/11923uPwbBZFjjGgGUA6NLw09EwE0CqkOc4q9oUmW1yo/edit?usp=sharing"",""สุโขทัย!J405"")"),138)</f>
        <v>138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IFERROR(__xludf.DUMMYFUNCTION("IMPORTRANGE(""https://docs.google.com/spreadsheets/d/11923uPwbBZFjjGgGUA6NLw09EwE0CqkOc4q9oUmW1yo/edit?usp=sharing"",""สุโขทัย!I406"")"),0)</f>
        <v>0</v>
      </c>
      <c r="J511" s="197">
        <f ca="1">IFERROR(__xludf.DUMMYFUNCTION("IMPORTRANGE(""https://docs.google.com/spreadsheets/d/11923uPwbBZFjjGgGUA6NLw09EwE0CqkOc4q9oUmW1yo/edit?usp=sharing"",""สุโขทัย!J406"")"),9)</f>
        <v>9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IFERROR(__xludf.DUMMYFUNCTION("IMPORTRANGE(""https://docs.google.com/spreadsheets/d/11923uPwbBZFjjGgGUA6NLw09EwE0CqkOc4q9oUmW1yo/edit?usp=sharing"",""สุโขทัย!I407"")"),0)</f>
        <v>0</v>
      </c>
      <c r="J512" s="197">
        <f ca="1">IFERROR(__xludf.DUMMYFUNCTION("IMPORTRANGE(""https://docs.google.com/spreadsheets/d/11923uPwbBZFjjGgGUA6NLw09EwE0CqkOc4q9oUmW1yo/edit?usp=sharing"",""สุโขทัย!J407"")"),0)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IFERROR(__xludf.DUMMYFUNCTION("IMPORTRANGE(""https://docs.google.com/spreadsheets/d/11923uPwbBZFjjGgGUA6NLw09EwE0CqkOc4q9oUmW1yo/edit?usp=sharing"",""สุโขทัย!I408"")"),0)</f>
        <v>0</v>
      </c>
      <c r="J513" s="197">
        <f ca="1">IFERROR(__xludf.DUMMYFUNCTION("IMPORTRANGE(""https://docs.google.com/spreadsheets/d/11923uPwbBZFjjGgGUA6NLw09EwE0CqkOc4q9oUmW1yo/edit?usp=sharing"",""สุโขทัย!J408"")"),0)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IFERROR(__xludf.DUMMYFUNCTION("IMPORTRANGE(""https://docs.google.com/spreadsheets/d/11923uPwbBZFjjGgGUA6NLw09EwE0CqkOc4q9oUmW1yo/edit?usp=sharing"",""สุโขทัย!I409"")"),0)</f>
        <v>0</v>
      </c>
      <c r="J514" s="197">
        <f ca="1">IFERROR(__xludf.DUMMYFUNCTION("IMPORTRANGE(""https://docs.google.com/spreadsheets/d/11923uPwbBZFjjGgGUA6NLw09EwE0CqkOc4q9oUmW1yo/edit?usp=sharing"",""สุโขทัย!J409"")"),0)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IFERROR(__xludf.DUMMYFUNCTION("IMPORTRANGE(""https://docs.google.com/spreadsheets/d/11923uPwbBZFjjGgGUA6NLw09EwE0CqkOc4q9oUmW1yo/edit?usp=sharing"",""สุโขทัย!I410"")"),0)</f>
        <v>0</v>
      </c>
      <c r="J515" s="197">
        <f ca="1">IFERROR(__xludf.DUMMYFUNCTION("IMPORTRANGE(""https://docs.google.com/spreadsheets/d/11923uPwbBZFjjGgGUA6NLw09EwE0CqkOc4q9oUmW1yo/edit?usp=sharing"",""สุโขทัย!J410"")"),0)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IFERROR(__xludf.DUMMYFUNCTION("IMPORTRANGE(""https://docs.google.com/spreadsheets/d/11923uPwbBZFjjGgGUA6NLw09EwE0CqkOc4q9oUmW1yo/edit?usp=sharing"",""สุโขทัย!I411"")"),0)</f>
        <v>0</v>
      </c>
      <c r="J516" s="267">
        <f ca="1">IFERROR(__xludf.DUMMYFUNCTION("IMPORTRANGE(""https://docs.google.com/spreadsheets/d/11923uPwbBZFjjGgGUA6NLw09EwE0CqkOc4q9oUmW1yo/edit?usp=sharing"",""สุโขทัย!J411"")"),0)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IFERROR(__xludf.DUMMYFUNCTION("IMPORTRANGE(""https://docs.google.com/spreadsheets/d/11923uPwbBZFjjGgGUA6NLw09EwE0CqkOc4q9oUmW1yo/edit?usp=sharing"",""สุโขทัย!I412"")"),0)</f>
        <v>0</v>
      </c>
      <c r="J517" s="284">
        <f ca="1">IFERROR(__xludf.DUMMYFUNCTION("IMPORTRANGE(""https://docs.google.com/spreadsheets/d/11923uPwbBZFjjGgGUA6NLw09EwE0CqkOc4q9oUmW1yo/edit?usp=sharing"",""สุโขทัย!J412"")"),0)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IFERROR(__xludf.DUMMYFUNCTION("IMPORTRANGE(""https://docs.google.com/spreadsheets/d/11923uPwbBZFjjGgGUA6NLw09EwE0CqkOc4q9oUmW1yo/edit?usp=sharing"",""สุโขทัย!I413"")"),0)</f>
        <v>0</v>
      </c>
      <c r="J518" s="284">
        <f ca="1">IFERROR(__xludf.DUMMYFUNCTION("IMPORTRANGE(""https://docs.google.com/spreadsheets/d/11923uPwbBZFjjGgGUA6NLw09EwE0CqkOc4q9oUmW1yo/edit?usp=sharing"",""สุโขทัย!J413"")"),0)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IFERROR(__xludf.DUMMYFUNCTION("IMPORTRANGE(""https://docs.google.com/spreadsheets/d/11923uPwbBZFjjGgGUA6NLw09EwE0CqkOc4q9oUmW1yo/edit?usp=sharing"",""สุโขทัย!I414"")"),0)</f>
        <v>0</v>
      </c>
      <c r="J519" s="187">
        <f ca="1">IFERROR(__xludf.DUMMYFUNCTION("IMPORTRANGE(""https://docs.google.com/spreadsheets/d/11923uPwbBZFjjGgGUA6NLw09EwE0CqkOc4q9oUmW1yo/edit?usp=sharing"",""สุโขทัย!J414"")"),0)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IFERROR(__xludf.DUMMYFUNCTION("IMPORTRANGE(""https://docs.google.com/spreadsheets/d/11923uPwbBZFjjGgGUA6NLw09EwE0CqkOc4q9oUmW1yo/edit?usp=sharing"",""สุโขทัย!I415"")"),0)</f>
        <v>0</v>
      </c>
      <c r="J520" s="187">
        <f ca="1">IFERROR(__xludf.DUMMYFUNCTION("IMPORTRANGE(""https://docs.google.com/spreadsheets/d/11923uPwbBZFjjGgGUA6NLw09EwE0CqkOc4q9oUmW1yo/edit?usp=sharing"",""สุโขทัย!J415"")"),0)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IFERROR(__xludf.DUMMYFUNCTION("IMPORTRANGE(""https://docs.google.com/spreadsheets/d/11923uPwbBZFjjGgGUA6NLw09EwE0CqkOc4q9oUmW1yo/edit?usp=sharing"",""สุโขทัย!I416"")"),0)</f>
        <v>0</v>
      </c>
      <c r="J521" s="187">
        <f ca="1">IFERROR(__xludf.DUMMYFUNCTION("IMPORTRANGE(""https://docs.google.com/spreadsheets/d/11923uPwbBZFjjGgGUA6NLw09EwE0CqkOc4q9oUmW1yo/edit?usp=sharing"",""สุโขทัย!J416"")"),0)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IFERROR(__xludf.DUMMYFUNCTION("IMPORTRANGE(""https://docs.google.com/spreadsheets/d/11923uPwbBZFjjGgGUA6NLw09EwE0CqkOc4q9oUmW1yo/edit?usp=sharing"",""สุโขทัย!I417"")"),0)</f>
        <v>0</v>
      </c>
      <c r="J522" s="187">
        <f ca="1">IFERROR(__xludf.DUMMYFUNCTION("IMPORTRANGE(""https://docs.google.com/spreadsheets/d/11923uPwbBZFjjGgGUA6NLw09EwE0CqkOc4q9oUmW1yo/edit?usp=sharing"",""สุโขทัย!J417"")"),0)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IFERROR(__xludf.DUMMYFUNCTION("IMPORTRANGE(""https://docs.google.com/spreadsheets/d/11923uPwbBZFjjGgGUA6NLw09EwE0CqkOc4q9oUmW1yo/edit?usp=sharing"",""สุโขทัย!I418"")"),0)</f>
        <v>0</v>
      </c>
      <c r="J523" s="187">
        <f ca="1">IFERROR(__xludf.DUMMYFUNCTION("IMPORTRANGE(""https://docs.google.com/spreadsheets/d/11923uPwbBZFjjGgGUA6NLw09EwE0CqkOc4q9oUmW1yo/edit?usp=sharing"",""สุโขทัย!J418"")"),12)</f>
        <v>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IFERROR(__xludf.DUMMYFUNCTION("IMPORTRANGE(""https://docs.google.com/spreadsheets/d/11923uPwbBZFjjGgGUA6NLw09EwE0CqkOc4q9oUmW1yo/edit?usp=sharing"",""สุโขทัย!I419"")"),0)</f>
        <v>0</v>
      </c>
      <c r="J524" s="187">
        <f ca="1">IFERROR(__xludf.DUMMYFUNCTION("IMPORTRANGE(""https://docs.google.com/spreadsheets/d/11923uPwbBZFjjGgGUA6NLw09EwE0CqkOc4q9oUmW1yo/edit?usp=sharing"",""สุโขทัย!J419"")"),2)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IFERROR(__xludf.DUMMYFUNCTION("IMPORTRANGE(""https://docs.google.com/spreadsheets/d/11923uPwbBZFjjGgGUA6NLw09EwE0CqkOc4q9oUmW1yo/edit?usp=sharing"",""สุโขทัย!I420"")"),12)</f>
        <v>12</v>
      </c>
      <c r="J525" s="284">
        <f ca="1">IFERROR(__xludf.DUMMYFUNCTION("IMPORTRANGE(""https://docs.google.com/spreadsheets/d/11923uPwbBZFjjGgGUA6NLw09EwE0CqkOc4q9oUmW1yo/edit?usp=sharing"",""สุโขทัย!J420"")"),12)</f>
        <v>12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IFERROR(__xludf.DUMMYFUNCTION("IMPORTRANGE(""https://docs.google.com/spreadsheets/d/11923uPwbBZFjjGgGUA6NLw09EwE0CqkOc4q9oUmW1yo/edit?usp=sharing"",""สุโขทัย!I421"")"),2)</f>
        <v>2</v>
      </c>
      <c r="J526" s="284">
        <f ca="1">IFERROR(__xludf.DUMMYFUNCTION("IMPORTRANGE(""https://docs.google.com/spreadsheets/d/11923uPwbBZFjjGgGUA6NLw09EwE0CqkOc4q9oUmW1yo/edit?usp=sharing"",""สุโขทัย!J421"")"),2)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IFERROR(__xludf.DUMMYFUNCTION("IMPORTRANGE(""https://docs.google.com/spreadsheets/d/11923uPwbBZFjjGgGUA6NLw09EwE0CqkOc4q9oUmW1yo/edit?usp=sharing"",""สุโขทัย!I422"")"),0)</f>
        <v>0</v>
      </c>
      <c r="J527" s="197">
        <f ca="1">IFERROR(__xludf.DUMMYFUNCTION("IMPORTRANGE(""https://docs.google.com/spreadsheets/d/11923uPwbBZFjjGgGUA6NLw09EwE0CqkOc4q9oUmW1yo/edit?usp=sharing"",""สุโขทัย!J422"")"),0)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IFERROR(__xludf.DUMMYFUNCTION("IMPORTRANGE(""https://docs.google.com/spreadsheets/d/11923uPwbBZFjjGgGUA6NLw09EwE0CqkOc4q9oUmW1yo/edit?usp=sharing"",""สุโขทัย!I423"")"),0)</f>
        <v>0</v>
      </c>
      <c r="J528" s="197">
        <f ca="1">IFERROR(__xludf.DUMMYFUNCTION("IMPORTRANGE(""https://docs.google.com/spreadsheets/d/11923uPwbBZFjjGgGUA6NLw09EwE0CqkOc4q9oUmW1yo/edit?usp=sharing"",""สุโขทัย!J423"")"),0)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IFERROR(__xludf.DUMMYFUNCTION("IMPORTRANGE(""https://docs.google.com/spreadsheets/d/11923uPwbBZFjjGgGUA6NLw09EwE0CqkOc4q9oUmW1yo/edit?usp=sharing"",""สุโขทัย!I424"")"),0)</f>
        <v>0</v>
      </c>
      <c r="J529" s="197">
        <f ca="1">IFERROR(__xludf.DUMMYFUNCTION("IMPORTRANGE(""https://docs.google.com/spreadsheets/d/11923uPwbBZFjjGgGUA6NLw09EwE0CqkOc4q9oUmW1yo/edit?usp=sharing"",""สุโขทัย!J424"")"),12)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IFERROR(__xludf.DUMMYFUNCTION("IMPORTRANGE(""https://docs.google.com/spreadsheets/d/11923uPwbBZFjjGgGUA6NLw09EwE0CqkOc4q9oUmW1yo/edit?usp=sharing"",""สุโขทัย!I425"")"),0)</f>
        <v>0</v>
      </c>
      <c r="J530" s="197">
        <f ca="1">IFERROR(__xludf.DUMMYFUNCTION("IMPORTRANGE(""https://docs.google.com/spreadsheets/d/11923uPwbBZFjjGgGUA6NLw09EwE0CqkOc4q9oUmW1yo/edit?usp=sharing"",""สุโขทัย!J425"")"),2)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IFERROR(__xludf.DUMMYFUNCTION("IMPORTRANGE(""https://docs.google.com/spreadsheets/d/11923uPwbBZFjjGgGUA6NLw09EwE0CqkOc4q9oUmW1yo/edit?usp=sharing"",""สุโขทัย!I426"")"),0)</f>
        <v>0</v>
      </c>
      <c r="J531" s="197">
        <f ca="1">IFERROR(__xludf.DUMMYFUNCTION("IMPORTRANGE(""https://docs.google.com/spreadsheets/d/11923uPwbBZFjjGgGUA6NLw09EwE0CqkOc4q9oUmW1yo/edit?usp=sharing"",""สุโขทัย!J426"")"),0)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IFERROR(__xludf.DUMMYFUNCTION("IMPORTRANGE(""https://docs.google.com/spreadsheets/d/11923uPwbBZFjjGgGUA6NLw09EwE0CqkOc4q9oUmW1yo/edit?usp=sharing"",""สุโขทัย!I427"")"),0)</f>
        <v>0</v>
      </c>
      <c r="J532" s="466">
        <f ca="1">IFERROR(__xludf.DUMMYFUNCTION("IMPORTRANGE(""https://docs.google.com/spreadsheets/d/11923uPwbBZFjjGgGUA6NLw09EwE0CqkOc4q9oUmW1yo/edit?usp=sharing"",""สุโขทัย!J427"")"),0)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IFERROR(__xludf.DUMMYFUNCTION("IMPORTRANGE(""https://docs.google.com/spreadsheets/d/11923uPwbBZFjjGgGUA6NLw09EwE0CqkOc4q9oUmW1yo/edit?usp=sharing"",""สุโขทัย!I428"")"),22)</f>
        <v>22</v>
      </c>
      <c r="J533" s="409">
        <f ca="1">IFERROR(__xludf.DUMMYFUNCTION("IMPORTRANGE(""https://docs.google.com/spreadsheets/d/11923uPwbBZFjjGgGUA6NLw09EwE0CqkOc4q9oUmW1yo/edit?usp=sharing"",""สุโขทัย!J428"")"),22)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IFERROR(__xludf.DUMMYFUNCTION("IMPORTRANGE(""https://docs.google.com/spreadsheets/d/11923uPwbBZFjjGgGUA6NLw09EwE0CqkOc4q9oUmW1yo/edit?usp=sharing"",""สุโขทัย!L428"")"),34340)</f>
        <v>34340</v>
      </c>
      <c r="M533" s="411"/>
      <c r="N533" s="411">
        <f ca="1">IFERROR(__xludf.DUMMYFUNCTION("IMPORTRANGE(""https://docs.google.com/spreadsheets/d/11923uPwbBZFjjGgGUA6NLw09EwE0CqkOc4q9oUmW1yo/edit?usp=sharing"",""สุโขทัย!M428"")"),18740)</f>
        <v>18740</v>
      </c>
      <c r="O533" s="411">
        <f t="shared" ref="O533:O537" ca="1" si="118">+IF(L533&gt;0,N533*100/L533,0)</f>
        <v>54.571927781013393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IFERROR(__xludf.DUMMYFUNCTION("IMPORTRANGE(""https://docs.google.com/spreadsheets/d/11923uPwbBZFjjGgGUA6NLw09EwE0CqkOc4q9oUmW1yo/edit?usp=sharing"",""สุโขทัย!L429"")"),0)</f>
        <v>0</v>
      </c>
      <c r="M534" s="164"/>
      <c r="N534" s="168">
        <f ca="1">IFERROR(__xludf.DUMMYFUNCTION("IMPORTRANGE(""https://docs.google.com/spreadsheets/d/11923uPwbBZFjjGgGUA6NLw09EwE0CqkOc4q9oUmW1yo/edit?usp=sharing"",""สุโขทัย!M429"")"),0)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IFERROR(__xludf.DUMMYFUNCTION("IMPORTRANGE(""https://docs.google.com/spreadsheets/d/11923uPwbBZFjjGgGUA6NLw09EwE0CqkOc4q9oUmW1yo/edit?usp=sharing"",""สุโขทัย!L430"")"),34340)</f>
        <v>34340</v>
      </c>
      <c r="M535" s="165"/>
      <c r="N535" s="168">
        <f ca="1">IFERROR(__xludf.DUMMYFUNCTION("IMPORTRANGE(""https://docs.google.com/spreadsheets/d/11923uPwbBZFjjGgGUA6NLw09EwE0CqkOc4q9oUmW1yo/edit?usp=sharing"",""สุโขทัย!M430"")"),18740)</f>
        <v>18740</v>
      </c>
      <c r="O535" s="168">
        <f t="shared" ca="1" si="118"/>
        <v>54.571927781013393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IFERROR(__xludf.DUMMYFUNCTION("IMPORTRANGE(""https://docs.google.com/spreadsheets/d/11923uPwbBZFjjGgGUA6NLw09EwE0CqkOc4q9oUmW1yo/edit?usp=sharing"",""สุโขทัย!L431"")"),0)</f>
        <v>0</v>
      </c>
      <c r="M536" s="168"/>
      <c r="N536" s="168">
        <f ca="1">IFERROR(__xludf.DUMMYFUNCTION("IMPORTRANGE(""https://docs.google.com/spreadsheets/d/11923uPwbBZFjjGgGUA6NLw09EwE0CqkOc4q9oUmW1yo/edit?usp=sharing"",""สุโขทัย!M431"")"),0)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IFERROR(__xludf.DUMMYFUNCTION("IMPORTRANGE(""https://docs.google.com/spreadsheets/d/11923uPwbBZFjjGgGUA6NLw09EwE0CqkOc4q9oUmW1yo/edit?usp=sharing"",""สุโขทัย!L432"")"),34340)</f>
        <v>34340</v>
      </c>
      <c r="M537" s="168"/>
      <c r="N537" s="168">
        <f ca="1">IFERROR(__xludf.DUMMYFUNCTION("IMPORTRANGE(""https://docs.google.com/spreadsheets/d/11923uPwbBZFjjGgGUA6NLw09EwE0CqkOc4q9oUmW1yo/edit?usp=sharing"",""สุโขทัย!M432"")"),18740)</f>
        <v>18740</v>
      </c>
      <c r="O537" s="168">
        <f t="shared" ca="1" si="118"/>
        <v>54.571927781013393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IFERROR(__xludf.DUMMYFUNCTION("IMPORTRANGE(""https://docs.google.com/spreadsheets/d/11923uPwbBZFjjGgGUA6NLw09EwE0CqkOc4q9oUmW1yo/edit?usp=sharing"",""สุโขทัย!M433"")"),18740)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IFERROR(__xludf.DUMMYFUNCTION("IMPORTRANGE(""https://docs.google.com/spreadsheets/d/11923uPwbBZFjjGgGUA6NLw09EwE0CqkOc4q9oUmW1yo/edit?usp=sharing"",""สุโขทัย!M434"")"),0)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IFERROR(__xludf.DUMMYFUNCTION("IMPORTRANGE(""https://docs.google.com/spreadsheets/d/11923uPwbBZFjjGgGUA6NLw09EwE0CqkOc4q9oUmW1yo/edit?usp=sharing"",""สุโขทัย!M435"")"),0)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IFERROR(__xludf.DUMMYFUNCTION("IMPORTRANGE(""https://docs.google.com/spreadsheets/d/11923uPwbBZFjjGgGUA6NLw09EwE0CqkOc4q9oUmW1yo/edit?usp=sharing"",""สุโขทัย!M436"")"),0)</f>
        <v>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IFERROR(__xludf.DUMMYFUNCTION("IMPORTRANGE(""https://docs.google.com/spreadsheets/d/11923uPwbBZFjjGgGUA6NLw09EwE0CqkOc4q9oUmW1yo/edit?usp=sharing"",""สุโขทัย!J438"")"),0)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IFERROR(__xludf.DUMMYFUNCTION("IMPORTRANGE(""https://docs.google.com/spreadsheets/d/11923uPwbBZFjjGgGUA6NLw09EwE0CqkOc4q9oUmW1yo/edit?usp=sharing"",""สุโขทัย!J439"")"),1)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IFERROR(__xludf.DUMMYFUNCTION("IMPORTRANGE(""https://docs.google.com/spreadsheets/d/11923uPwbBZFjjGgGUA6NLw09EwE0CqkOc4q9oUmW1yo/edit?usp=sharing"",""สุโขทัย!J440"")"),1)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IFERROR(__xludf.DUMMYFUNCTION("IMPORTRANGE(""https://docs.google.com/spreadsheets/d/11923uPwbBZFjjGgGUA6NLw09EwE0CqkOc4q9oUmW1yo/edit?usp=sharing"",""สุโขทัย!J441"")"),1)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IFERROR(__xludf.DUMMYFUNCTION("IMPORTRANGE(""https://docs.google.com/spreadsheets/d/11923uPwbBZFjjGgGUA6NLw09EwE0CqkOc4q9oUmW1yo/edit?usp=sharing"",""สุโขทัย!I442"")"),22)</f>
        <v>22</v>
      </c>
      <c r="J547" s="188">
        <f ca="1">IFERROR(__xludf.DUMMYFUNCTION("IMPORTRANGE(""https://docs.google.com/spreadsheets/d/11923uPwbBZFjjGgGUA6NLw09EwE0CqkOc4q9oUmW1yo/edit?usp=sharing"",""สุโขทัย!J442"")"),22)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IFERROR(__xludf.DUMMYFUNCTION("IMPORTRANGE(""https://docs.google.com/spreadsheets/d/11923uPwbBZFjjGgGUA6NLw09EwE0CqkOc4q9oUmW1yo/edit?usp=sharing"",""สุโขทัย!J166"")"),0)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IFERROR(__xludf.DUMMYFUNCTION("IMPORTRANGE(""https://docs.google.com/spreadsheets/d/11923uPwbBZFjjGgGUA6NLw09EwE0CqkOc4q9oUmW1yo/edit?usp=sharing"",""สุโขทัย!J444"")"),0)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IFERROR(__xludf.DUMMYFUNCTION("IMPORTRANGE(""https://docs.google.com/spreadsheets/d/11923uPwbBZFjjGgGUA6NLw09EwE0CqkOc4q9oUmW1yo/edit?usp=sharing"",""สุโขทัย!J445"")"),0)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IFERROR(__xludf.DUMMYFUNCTION("IMPORTRANGE(""https://docs.google.com/spreadsheets/d/11923uPwbBZFjjGgGUA6NLw09EwE0CqkOc4q9oUmW1yo/edit?usp=sharing"",""สุโขทัย!I446"")"),0)</f>
        <v>0</v>
      </c>
      <c r="J551" s="409">
        <f ca="1">IFERROR(__xludf.DUMMYFUNCTION("IMPORTRANGE(""https://docs.google.com/spreadsheets/d/11923uPwbBZFjjGgGUA6NLw09EwE0CqkOc4q9oUmW1yo/edit?usp=sharing"",""สุโขทัย!J446"")"),0)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IFERROR(__xludf.DUMMYFUNCTION("IMPORTRANGE(""https://docs.google.com/spreadsheets/d/11923uPwbBZFjjGgGUA6NLw09EwE0CqkOc4q9oUmW1yo/edit?usp=sharing"",""สุโขทัย!L446"")"),0)</f>
        <v>0</v>
      </c>
      <c r="M551" s="411"/>
      <c r="N551" s="411">
        <f ca="1">IFERROR(__xludf.DUMMYFUNCTION("IMPORTRANGE(""https://docs.google.com/spreadsheets/d/11923uPwbBZFjjGgGUA6NLw09EwE0CqkOc4q9oUmW1yo/edit?usp=sharing"",""สุโขทัย!M446"")"),0)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IFERROR(__xludf.DUMMYFUNCTION("IMPORTRANGE(""https://docs.google.com/spreadsheets/d/11923uPwbBZFjjGgGUA6NLw09EwE0CqkOc4q9oUmW1yo/edit?usp=sharing"",""สุโขทัย!L447"")"),0)</f>
        <v>0</v>
      </c>
      <c r="M552" s="164"/>
      <c r="N552" s="168">
        <f ca="1">IFERROR(__xludf.DUMMYFUNCTION("IMPORTRANGE(""https://docs.google.com/spreadsheets/d/11923uPwbBZFjjGgGUA6NLw09EwE0CqkOc4q9oUmW1yo/edit?usp=sharing"",""สุโขทัย!M447"")"),0)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IFERROR(__xludf.DUMMYFUNCTION("IMPORTRANGE(""https://docs.google.com/spreadsheets/d/11923uPwbBZFjjGgGUA6NLw09EwE0CqkOc4q9oUmW1yo/edit?usp=sharing"",""สุโขทัย!L448"")"),0)</f>
        <v>0</v>
      </c>
      <c r="M553" s="165"/>
      <c r="N553" s="168">
        <f ca="1">IFERROR(__xludf.DUMMYFUNCTION("IMPORTRANGE(""https://docs.google.com/spreadsheets/d/11923uPwbBZFjjGgGUA6NLw09EwE0CqkOc4q9oUmW1yo/edit?usp=sharing"",""สุโขทัย!M448"")"),0)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IFERROR(__xludf.DUMMYFUNCTION("IMPORTRANGE(""https://docs.google.com/spreadsheets/d/11923uPwbBZFjjGgGUA6NLw09EwE0CqkOc4q9oUmW1yo/edit?usp=sharing"",""สุโขทัย!L449"")"),0)</f>
        <v>0</v>
      </c>
      <c r="M554" s="168"/>
      <c r="N554" s="168">
        <f ca="1">IFERROR(__xludf.DUMMYFUNCTION("IMPORTRANGE(""https://docs.google.com/spreadsheets/d/11923uPwbBZFjjGgGUA6NLw09EwE0CqkOc4q9oUmW1yo/edit?usp=sharing"",""สุโขทัย!M449"")"),0)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IFERROR(__xludf.DUMMYFUNCTION("IMPORTRANGE(""https://docs.google.com/spreadsheets/d/11923uPwbBZFjjGgGUA6NLw09EwE0CqkOc4q9oUmW1yo/edit?usp=sharing"",""สุโขทัย!L450"")"),0)</f>
        <v>0</v>
      </c>
      <c r="M555" s="168"/>
      <c r="N555" s="168">
        <f ca="1">IFERROR(__xludf.DUMMYFUNCTION("IMPORTRANGE(""https://docs.google.com/spreadsheets/d/11923uPwbBZFjjGgGUA6NLw09EwE0CqkOc4q9oUmW1yo/edit?usp=sharing"",""สุโขทัย!M450"")"),0)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IFERROR(__xludf.DUMMYFUNCTION("IMPORTRANGE(""https://docs.google.com/spreadsheets/d/11923uPwbBZFjjGgGUA6NLw09EwE0CqkOc4q9oUmW1yo/edit?usp=sharing"",""สุโขทัย!M451"")"),0)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IFERROR(__xludf.DUMMYFUNCTION("IMPORTRANGE(""https://docs.google.com/spreadsheets/d/11923uPwbBZFjjGgGUA6NLw09EwE0CqkOc4q9oUmW1yo/edit?usp=sharing"",""สุโขทัย!M452"")"),0)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IFERROR(__xludf.DUMMYFUNCTION("IMPORTRANGE(""https://docs.google.com/spreadsheets/d/11923uPwbBZFjjGgGUA6NLw09EwE0CqkOc4q9oUmW1yo/edit?usp=sharing"",""สุโขทัย!M453"")"),0)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IFERROR(__xludf.DUMMYFUNCTION("IMPORTRANGE(""https://docs.google.com/spreadsheets/d/11923uPwbBZFjjGgGUA6NLw09EwE0CqkOc4q9oUmW1yo/edit?usp=sharing"",""สุโขทัย!M454"")"),0)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IFERROR(__xludf.DUMMYFUNCTION("IMPORTRANGE(""https://docs.google.com/spreadsheets/d/11923uPwbBZFjjGgGUA6NLw09EwE0CqkOc4q9oUmW1yo/edit?usp=sharing"",""สุโขทัย!I455"")"),0)</f>
        <v>0</v>
      </c>
      <c r="J560" s="162">
        <f ca="1">IFERROR(__xludf.DUMMYFUNCTION("IMPORTRANGE(""https://docs.google.com/spreadsheets/d/11923uPwbBZFjjGgGUA6NLw09EwE0CqkOc4q9oUmW1yo/edit?usp=sharing"",""สุโขทัย!J455"")"),0)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IFERROR(__xludf.DUMMYFUNCTION("IMPORTRANGE(""https://docs.google.com/spreadsheets/d/11923uPwbBZFjjGgGUA6NLw09EwE0CqkOc4q9oUmW1yo/edit?usp=sharing"",""สุโขทัย!I456"")"),0)</f>
        <v>0</v>
      </c>
      <c r="J561" s="203">
        <f ca="1">IFERROR(__xludf.DUMMYFUNCTION("IMPORTRANGE(""https://docs.google.com/spreadsheets/d/11923uPwbBZFjjGgGUA6NLw09EwE0CqkOc4q9oUmW1yo/edit?usp=sharing"",""สุโขทัย!J456"")"),0)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IFERROR(__xludf.DUMMYFUNCTION("IMPORTRANGE(""https://docs.google.com/spreadsheets/d/11923uPwbBZFjjGgGUA6NLw09EwE0CqkOc4q9oUmW1yo/edit?usp=sharing"",""สุโขทัย!I459"")"),2100)</f>
        <v>2100</v>
      </c>
      <c r="J564" s="370">
        <f ca="1">IFERROR(__xludf.DUMMYFUNCTION("IMPORTRANGE(""https://docs.google.com/spreadsheets/d/11923uPwbBZFjjGgGUA6NLw09EwE0CqkOc4q9oUmW1yo/edit?usp=sharing"",""สุโขทัย!J459"")"),5577)</f>
        <v>5577</v>
      </c>
      <c r="K564" s="371">
        <f ca="1">IF(I564&gt;0,J564*100/I564,0)</f>
        <v>265.57142857142856</v>
      </c>
      <c r="L564" s="372">
        <f ca="1">IFERROR(__xludf.DUMMYFUNCTION("IMPORTRANGE(""https://docs.google.com/spreadsheets/d/11923uPwbBZFjjGgGUA6NLw09EwE0CqkOc4q9oUmW1yo/edit?usp=sharing"",""สุโขทัย!L459"")"),142240)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IFERROR(__xludf.DUMMYFUNCTION("IMPORTRANGE(""https://docs.google.com/spreadsheets/d/11923uPwbBZFjjGgGUA6NLw09EwE0CqkOc4q9oUmW1yo/edit?usp=sharing"",""สุโขทัย!M459"")"),65255.48)</f>
        <v>65255.48</v>
      </c>
      <c r="O564" s="372">
        <f t="shared" ref="O564:O568" ca="1" si="122">+IF(L564&gt;0,N564*100/L564,0)</f>
        <v>45.877024746906635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IFERROR(__xludf.DUMMYFUNCTION("IMPORTRANGE(""https://docs.google.com/spreadsheets/d/11923uPwbBZFjjGgGUA6NLw09EwE0CqkOc4q9oUmW1yo/edit?usp=sharing"",""สุโขทัย!L460"")"),0)</f>
        <v>0</v>
      </c>
      <c r="M565" s="164"/>
      <c r="N565" s="168">
        <f ca="1">IFERROR(__xludf.DUMMYFUNCTION("IMPORTRANGE(""https://docs.google.com/spreadsheets/d/11923uPwbBZFjjGgGUA6NLw09EwE0CqkOc4q9oUmW1yo/edit?usp=sharing"",""สุโขทัย!M460"")"),0)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IFERROR(__xludf.DUMMYFUNCTION("IMPORTRANGE(""https://docs.google.com/spreadsheets/d/11923uPwbBZFjjGgGUA6NLw09EwE0CqkOc4q9oUmW1yo/edit?usp=sharing"",""สุโขทัย!L461"")"),142240)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IFERROR(__xludf.DUMMYFUNCTION("IMPORTRANGE(""https://docs.google.com/spreadsheets/d/11923uPwbBZFjjGgGUA6NLw09EwE0CqkOc4q9oUmW1yo/edit?usp=sharing"",""สุโขทัย!M461"")"),65255.48)</f>
        <v>65255.48</v>
      </c>
      <c r="O566" s="168">
        <f t="shared" ca="1" si="122"/>
        <v>45.877024746906635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IFERROR(__xludf.DUMMYFUNCTION("IMPORTRANGE(""https://docs.google.com/spreadsheets/d/11923uPwbBZFjjGgGUA6NLw09EwE0CqkOc4q9oUmW1yo/edit?usp=sharing"",""สุโขทัย!L462"")"),0)</f>
        <v>0</v>
      </c>
      <c r="M567" s="168"/>
      <c r="N567" s="168">
        <f ca="1">IFERROR(__xludf.DUMMYFUNCTION("IMPORTRANGE(""https://docs.google.com/spreadsheets/d/11923uPwbBZFjjGgGUA6NLw09EwE0CqkOc4q9oUmW1yo/edit?usp=sharing"",""สุโขทัย!M462"")"),0)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IFERROR(__xludf.DUMMYFUNCTION("IMPORTRANGE(""https://docs.google.com/spreadsheets/d/11923uPwbBZFjjGgGUA6NLw09EwE0CqkOc4q9oUmW1yo/edit?usp=sharing"",""สุโขทัย!L463"")"),142240)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IFERROR(__xludf.DUMMYFUNCTION("IMPORTRANGE(""https://docs.google.com/spreadsheets/d/11923uPwbBZFjjGgGUA6NLw09EwE0CqkOc4q9oUmW1yo/edit?usp=sharing"",""สุโขทัย!M463"")"),65255.48)</f>
        <v>65255.48</v>
      </c>
      <c r="O568" s="168">
        <f t="shared" ca="1" si="122"/>
        <v>45.877024746906635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IFERROR(__xludf.DUMMYFUNCTION("IMPORTRANGE(""https://docs.google.com/spreadsheets/d/11923uPwbBZFjjGgGUA6NLw09EwE0CqkOc4q9oUmW1yo/edit?usp=sharing"",""สุโขทัย!M464"")"),0)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IFERROR(__xludf.DUMMYFUNCTION("IMPORTRANGE(""https://docs.google.com/spreadsheets/d/11923uPwbBZFjjGgGUA6NLw09EwE0CqkOc4q9oUmW1yo/edit?usp=sharing"",""สุโขทัย!M465"")"),0)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IFERROR(__xludf.DUMMYFUNCTION("IMPORTRANGE(""https://docs.google.com/spreadsheets/d/11923uPwbBZFjjGgGUA6NLw09EwE0CqkOc4q9oUmW1yo/edit?usp=sharing"",""สุโขทัย!M466"")"),42935.48)</f>
        <v>42935.48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IFERROR(__xludf.DUMMYFUNCTION("IMPORTRANGE(""https://docs.google.com/spreadsheets/d/11923uPwbBZFjjGgGUA6NLw09EwE0CqkOc4q9oUmW1yo/edit?usp=sharing"",""สุโขทัย!M467"")"),22320)</f>
        <v>22320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IFERROR(__xludf.DUMMYFUNCTION("IMPORTRANGE(""https://docs.google.com/spreadsheets/d/11923uPwbBZFjjGgGUA6NLw09EwE0CqkOc4q9oUmW1yo/edit?usp=sharing"",""สุโขทัย!I468"")"),2100)</f>
        <v>2100</v>
      </c>
      <c r="J573" s="420">
        <f ca="1">IFERROR(__xludf.DUMMYFUNCTION("IMPORTRANGE(""https://docs.google.com/spreadsheets/d/11923uPwbBZFjjGgGUA6NLw09EwE0CqkOc4q9oUmW1yo/edit?usp=sharing"",""สุโขทัย!J468"")"),5577)</f>
        <v>5577</v>
      </c>
      <c r="K573" s="201">
        <f ca="1">IF(I573&gt;0,J573*100/I573,0)</f>
        <v>265.57142857142856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IFERROR(__xludf.DUMMYFUNCTION("IMPORTRANGE(""https://docs.google.com/spreadsheets/d/11923uPwbBZFjjGgGUA6NLw09EwE0CqkOc4q9oUmW1yo/edit?usp=sharing"",""สุโขทัย!I470"")"),0)</f>
        <v>0</v>
      </c>
      <c r="J575" s="197">
        <f ca="1">IFERROR(__xludf.DUMMYFUNCTION("IMPORTRANGE(""https://docs.google.com/spreadsheets/d/11923uPwbBZFjjGgGUA6NLw09EwE0CqkOc4q9oUmW1yo/edit?usp=sharing"",""สุโขทัย!J470"")"),8)</f>
        <v>8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IFERROR(__xludf.DUMMYFUNCTION("IMPORTRANGE(""https://docs.google.com/spreadsheets/d/11923uPwbBZFjjGgGUA6NLw09EwE0CqkOc4q9oUmW1yo/edit?usp=sharing"",""สุโขทัย!I471"")"),0)</f>
        <v>0</v>
      </c>
      <c r="J576" s="197">
        <f ca="1">IFERROR(__xludf.DUMMYFUNCTION("IMPORTRANGE(""https://docs.google.com/spreadsheets/d/11923uPwbBZFjjGgGUA6NLw09EwE0CqkOc4q9oUmW1yo/edit?usp=sharing"",""สุโขทัย!J471"")"),436)</f>
        <v>436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IFERROR(__xludf.DUMMYFUNCTION("IMPORTRANGE(""https://docs.google.com/spreadsheets/d/11923uPwbBZFjjGgGUA6NLw09EwE0CqkOc4q9oUmW1yo/edit?usp=sharing"",""สุโขทัย!I472"")"),0)</f>
        <v>0</v>
      </c>
      <c r="J577" s="188">
        <f ca="1">IFERROR(__xludf.DUMMYFUNCTION("IMPORTRANGE(""https://docs.google.com/spreadsheets/d/11923uPwbBZFjjGgGUA6NLw09EwE0CqkOc4q9oUmW1yo/edit?usp=sharing"",""สุโขทัย!J472"")"),5141)</f>
        <v>5141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IFERROR(__xludf.DUMMYFUNCTION("IMPORTRANGE(""https://docs.google.com/spreadsheets/d/11923uPwbBZFjjGgGUA6NLw09EwE0CqkOc4q9oUmW1yo/edit?usp=sharing"",""สุโขทัย!I473"")"),0)</f>
        <v>0</v>
      </c>
      <c r="J578" s="197">
        <f ca="1">IFERROR(__xludf.DUMMYFUNCTION("IMPORTRANGE(""https://docs.google.com/spreadsheets/d/11923uPwbBZFjjGgGUA6NLw09EwE0CqkOc4q9oUmW1yo/edit?usp=sharing"",""สุโขทัย!J473"")"),0)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IFERROR(__xludf.DUMMYFUNCTION("IMPORTRANGE(""https://docs.google.com/spreadsheets/d/11923uPwbBZFjjGgGUA6NLw09EwE0CqkOc4q9oUmW1yo/edit?usp=sharing"",""สุโขทัย!I474"")"),0)</f>
        <v>0</v>
      </c>
      <c r="J579" s="197">
        <f ca="1">IFERROR(__xludf.DUMMYFUNCTION("IMPORTRANGE(""https://docs.google.com/spreadsheets/d/11923uPwbBZFjjGgGUA6NLw09EwE0CqkOc4q9oUmW1yo/edit?usp=sharing"",""สุโขทัย!J474"")"),0)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IFERROR(__xludf.DUMMYFUNCTION("IMPORTRANGE(""https://docs.google.com/spreadsheets/d/11923uPwbBZFjjGgGUA6NLw09EwE0CqkOc4q9oUmW1yo/edit?usp=sharing"",""สุโขทัย!I475"")"),90)</f>
        <v>90</v>
      </c>
      <c r="J580" s="370">
        <f ca="1">IFERROR(__xludf.DUMMYFUNCTION("IMPORTRANGE(""https://docs.google.com/spreadsheets/d/11923uPwbBZFjjGgGUA6NLw09EwE0CqkOc4q9oUmW1yo/edit?usp=sharing"",""สุโขทัย!J475"")"),1)</f>
        <v>1</v>
      </c>
      <c r="K580" s="371">
        <f ca="1">IF(I580&gt;0,J580*100/I580,0)</f>
        <v>1.1111111111111112</v>
      </c>
      <c r="L580" s="372">
        <f ca="1">IFERROR(__xludf.DUMMYFUNCTION("IMPORTRANGE(""https://docs.google.com/spreadsheets/d/11923uPwbBZFjjGgGUA6NLw09EwE0CqkOc4q9oUmW1yo/edit?usp=sharing"",""สุโขทัย!L475"")"),296190)</f>
        <v>296190</v>
      </c>
      <c r="M580" s="372"/>
      <c r="N580" s="372">
        <f ca="1">IFERROR(__xludf.DUMMYFUNCTION("IMPORTRANGE(""https://docs.google.com/spreadsheets/d/11923uPwbBZFjjGgGUA6NLw09EwE0CqkOc4q9oUmW1yo/edit?usp=sharing"",""สุโขทัย!M475"")"),35240)</f>
        <v>35240</v>
      </c>
      <c r="O580" s="372">
        <f t="shared" ref="O580:O584" ca="1" si="124">+IF(L580&gt;0,N580*100/L580,0)</f>
        <v>11.897768324386373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IFERROR(__xludf.DUMMYFUNCTION("IMPORTRANGE(""https://docs.google.com/spreadsheets/d/11923uPwbBZFjjGgGUA6NLw09EwE0CqkOc4q9oUmW1yo/edit?usp=sharing"",""สุโขทัย!L476"")"),0)</f>
        <v>0</v>
      </c>
      <c r="M581" s="164"/>
      <c r="N581" s="168">
        <f ca="1">IFERROR(__xludf.DUMMYFUNCTION("IMPORTRANGE(""https://docs.google.com/spreadsheets/d/11923uPwbBZFjjGgGUA6NLw09EwE0CqkOc4q9oUmW1yo/edit?usp=sharing"",""สุโขทัย!M476"")"),0)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IFERROR(__xludf.DUMMYFUNCTION("IMPORTRANGE(""https://docs.google.com/spreadsheets/d/11923uPwbBZFjjGgGUA6NLw09EwE0CqkOc4q9oUmW1yo/edit?usp=sharing"",""สุโขทัย!L477"")"),296190)</f>
        <v>296190</v>
      </c>
      <c r="M582" s="165"/>
      <c r="N582" s="168">
        <f ca="1">IFERROR(__xludf.DUMMYFUNCTION("IMPORTRANGE(""https://docs.google.com/spreadsheets/d/11923uPwbBZFjjGgGUA6NLw09EwE0CqkOc4q9oUmW1yo/edit?usp=sharing"",""สุโขทัย!M477"")"),35240)</f>
        <v>35240</v>
      </c>
      <c r="O582" s="168">
        <f t="shared" ca="1" si="124"/>
        <v>11.897768324386373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IFERROR(__xludf.DUMMYFUNCTION("IMPORTRANGE(""https://docs.google.com/spreadsheets/d/11923uPwbBZFjjGgGUA6NLw09EwE0CqkOc4q9oUmW1yo/edit?usp=sharing"",""สุโขทัย!L478"")"),0)</f>
        <v>0</v>
      </c>
      <c r="M583" s="168"/>
      <c r="N583" s="168">
        <f ca="1">IFERROR(__xludf.DUMMYFUNCTION("IMPORTRANGE(""https://docs.google.com/spreadsheets/d/11923uPwbBZFjjGgGUA6NLw09EwE0CqkOc4q9oUmW1yo/edit?usp=sharing"",""สุโขทัย!M478"")"),0)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IFERROR(__xludf.DUMMYFUNCTION("IMPORTRANGE(""https://docs.google.com/spreadsheets/d/11923uPwbBZFjjGgGUA6NLw09EwE0CqkOc4q9oUmW1yo/edit?usp=sharing"",""สุโขทัย!L479"")"),296190)</f>
        <v>296190</v>
      </c>
      <c r="M584" s="168"/>
      <c r="N584" s="168">
        <f ca="1">IFERROR(__xludf.DUMMYFUNCTION("IMPORTRANGE(""https://docs.google.com/spreadsheets/d/11923uPwbBZFjjGgGUA6NLw09EwE0CqkOc4q9oUmW1yo/edit?usp=sharing"",""สุโขทัย!M479"")"),35240)</f>
        <v>35240</v>
      </c>
      <c r="O584" s="168">
        <f t="shared" ca="1" si="124"/>
        <v>11.897768324386373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IFERROR(__xludf.DUMMYFUNCTION("IMPORTRANGE(""https://docs.google.com/spreadsheets/d/11923uPwbBZFjjGgGUA6NLw09EwE0CqkOc4q9oUmW1yo/edit?usp=sharing"",""สุโขทัย!M480"")"),0)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IFERROR(__xludf.DUMMYFUNCTION("IMPORTRANGE(""https://docs.google.com/spreadsheets/d/11923uPwbBZFjjGgGUA6NLw09EwE0CqkOc4q9oUmW1yo/edit?usp=sharing"",""สุโขทัย!M481"")"),0)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IFERROR(__xludf.DUMMYFUNCTION("IMPORTRANGE(""https://docs.google.com/spreadsheets/d/11923uPwbBZFjjGgGUA6NLw09EwE0CqkOc4q9oUmW1yo/edit?usp=sharing"",""สุโขทัย!M482"")"),0)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IFERROR(__xludf.DUMMYFUNCTION("IMPORTRANGE(""https://docs.google.com/spreadsheets/d/11923uPwbBZFjjGgGUA6NLw09EwE0CqkOc4q9oUmW1yo/edit?usp=sharing"",""สุโขทัย!M483"")"),35240)</f>
        <v>35240</v>
      </c>
      <c r="O588" s="168"/>
      <c r="P588" s="168"/>
    </row>
    <row r="589" spans="1:16" ht="21.75" customHeight="1" x14ac:dyDescent="0.3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IFERROR(__xludf.DUMMYFUNCTION("IMPORTRANGE(""https://docs.google.com/spreadsheets/d/11923uPwbBZFjjGgGUA6NLw09EwE0CqkOc4q9oUmW1yo/edit?usp=sharing"",""สุโขทัย!I484"")"),90)</f>
        <v>90</v>
      </c>
      <c r="J589" s="187">
        <f ca="1">IFERROR(__xludf.DUMMYFUNCTION("IMPORTRANGE(""https://docs.google.com/spreadsheets/d/11923uPwbBZFjjGgGUA6NLw09EwE0CqkOc4q9oUmW1yo/edit?usp=sharing"",""สุโขทัย!J484"")"),73)</f>
        <v>73</v>
      </c>
      <c r="K589" s="163">
        <f t="shared" ref="K589:K596" ca="1" si="125">IF(I589&gt;0,J589*100/I589,0)</f>
        <v>81.111111111111114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IFERROR(__xludf.DUMMYFUNCTION("IMPORTRANGE(""https://docs.google.com/spreadsheets/d/11923uPwbBZFjjGgGUA6NLw09EwE0CqkOc4q9oUmW1yo/edit?usp=sharing"",""สุโขทัย!I485"")"),0)</f>
        <v>0</v>
      </c>
      <c r="J590" s="187">
        <f ca="1">IFERROR(__xludf.DUMMYFUNCTION("IMPORTRANGE(""https://docs.google.com/spreadsheets/d/11923uPwbBZFjjGgGUA6NLw09EwE0CqkOc4q9oUmW1yo/edit?usp=sharing"",""สุโขทัย!J485"")"),86.11)</f>
        <v>86.11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IFERROR(__xludf.DUMMYFUNCTION("IMPORTRANGE(""https://docs.google.com/spreadsheets/d/11923uPwbBZFjjGgGUA6NLw09EwE0CqkOc4q9oUmW1yo/edit?usp=sharing"",""สุโขทัย!I486"")"),90)</f>
        <v>90</v>
      </c>
      <c r="J591" s="187">
        <f ca="1">IFERROR(__xludf.DUMMYFUNCTION("IMPORTRANGE(""https://docs.google.com/spreadsheets/d/11923uPwbBZFjjGgGUA6NLw09EwE0CqkOc4q9oUmW1yo/edit?usp=sharing"",""สุโขทัย!J486"")"),53)</f>
        <v>53</v>
      </c>
      <c r="K591" s="163">
        <f t="shared" ca="1" si="125"/>
        <v>58.888888888888886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IFERROR(__xludf.DUMMYFUNCTION("IMPORTRANGE(""https://docs.google.com/spreadsheets/d/11923uPwbBZFjjGgGUA6NLw09EwE0CqkOc4q9oUmW1yo/edit?usp=sharing"",""สุโขทัย!I487"")"),0)</f>
        <v>0</v>
      </c>
      <c r="J592" s="187">
        <f ca="1">IFERROR(__xludf.DUMMYFUNCTION("IMPORTRANGE(""https://docs.google.com/spreadsheets/d/11923uPwbBZFjjGgGUA6NLw09EwE0CqkOc4q9oUmW1yo/edit?usp=sharing"",""สุโขทัย!J487"")"),56.16)</f>
        <v>56.16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IFERROR(__xludf.DUMMYFUNCTION("IMPORTRANGE(""https://docs.google.com/spreadsheets/d/11923uPwbBZFjjGgGUA6NLw09EwE0CqkOc4q9oUmW1yo/edit?usp=sharing"",""สุโขทัย!I488"")"),90)</f>
        <v>90</v>
      </c>
      <c r="J593" s="187">
        <f ca="1">IFERROR(__xludf.DUMMYFUNCTION("IMPORTRANGE(""https://docs.google.com/spreadsheets/d/11923uPwbBZFjjGgGUA6NLw09EwE0CqkOc4q9oUmW1yo/edit?usp=sharing"",""สุโขทัย!J488"")"),0)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IFERROR(__xludf.DUMMYFUNCTION("IMPORTRANGE(""https://docs.google.com/spreadsheets/d/11923uPwbBZFjjGgGUA6NLw09EwE0CqkOc4q9oUmW1yo/edit?usp=sharing"",""สุโขทัย!I489"")"),0)</f>
        <v>0</v>
      </c>
      <c r="J594" s="187">
        <f ca="1">IFERROR(__xludf.DUMMYFUNCTION("IMPORTRANGE(""https://docs.google.com/spreadsheets/d/11923uPwbBZFjjGgGUA6NLw09EwE0CqkOc4q9oUmW1yo/edit?usp=sharing"",""สุโขทัย!J489"")"),0)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IFERROR(__xludf.DUMMYFUNCTION("IMPORTRANGE(""https://docs.google.com/spreadsheets/d/11923uPwbBZFjjGgGUA6NLw09EwE0CqkOc4q9oUmW1yo/edit?usp=sharing"",""สุโขทัย!I490"")"),90)</f>
        <v>90</v>
      </c>
      <c r="J595" s="187">
        <f ca="1">IFERROR(__xludf.DUMMYFUNCTION("IMPORTRANGE(""https://docs.google.com/spreadsheets/d/11923uPwbBZFjjGgGUA6NLw09EwE0CqkOc4q9oUmW1yo/edit?usp=sharing"",""สุโขทัย!J490"")"),1)</f>
        <v>1</v>
      </c>
      <c r="K595" s="163">
        <f t="shared" ca="1" si="125"/>
        <v>1.1111111111111112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IFERROR(__xludf.DUMMYFUNCTION("IMPORTRANGE(""https://docs.google.com/spreadsheets/d/11923uPwbBZFjjGgGUA6NLw09EwE0CqkOc4q9oUmW1yo/edit?usp=sharing"",""สุโขทัย!I491"")"),0)</f>
        <v>0</v>
      </c>
      <c r="J596" s="241">
        <f ca="1">IFERROR(__xludf.DUMMYFUNCTION("IMPORTRANGE(""https://docs.google.com/spreadsheets/d/11923uPwbBZFjjGgGUA6NLw09EwE0CqkOc4q9oUmW1yo/edit?usp=sharing"",""สุโขทัย!J491"")"),0.84)</f>
        <v>0.84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IFERROR(__xludf.DUMMYFUNCTION("IMPORTRANGE(""https://docs.google.com/spreadsheets/d/11923uPwbBZFjjGgGUA6NLw09EwE0CqkOc4q9oUmW1yo/edit?usp=sharing"",""สุโขทัย!I492"")"),100)</f>
        <v>100</v>
      </c>
      <c r="J597" s="487">
        <f ca="1">IFERROR(__xludf.DUMMYFUNCTION("IMPORTRANGE(""https://docs.google.com/spreadsheets/d/11923uPwbBZFjjGgGUA6NLw09EwE0CqkOc4q9oUmW1yo/edit?usp=sharing"",""สุโขทัย!J492"")"),0)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IFERROR(__xludf.DUMMYFUNCTION("IMPORTRANGE(""https://docs.google.com/spreadsheets/d/11923uPwbBZFjjGgGUA6NLw09EwE0CqkOc4q9oUmW1yo/edit?usp=sharing"",""สุโขทัย!L492"")"),7300)</f>
        <v>7300</v>
      </c>
      <c r="M597" s="411"/>
      <c r="N597" s="411">
        <f ca="1">IFERROR(__xludf.DUMMYFUNCTION("IMPORTRANGE(""https://docs.google.com/spreadsheets/d/11923uPwbBZFjjGgGUA6NLw09EwE0CqkOc4q9oUmW1yo/edit?usp=sharing"",""สุโขทัย!M492"")"),0)</f>
        <v>0</v>
      </c>
      <c r="O597" s="411">
        <f t="shared" ref="O597:O601" ca="1" si="126">+IF(L597&gt;0,N597*100/L597,0)</f>
        <v>0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IFERROR(__xludf.DUMMYFUNCTION("IMPORTRANGE(""https://docs.google.com/spreadsheets/d/11923uPwbBZFjjGgGUA6NLw09EwE0CqkOc4q9oUmW1yo/edit?usp=sharing"",""สุโขทัย!L493"")"),0)</f>
        <v>0</v>
      </c>
      <c r="M598" s="164"/>
      <c r="N598" s="168">
        <f ca="1">IFERROR(__xludf.DUMMYFUNCTION("IMPORTRANGE(""https://docs.google.com/spreadsheets/d/11923uPwbBZFjjGgGUA6NLw09EwE0CqkOc4q9oUmW1yo/edit?usp=sharing"",""สุโขทัย!M493"")"),0)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IFERROR(__xludf.DUMMYFUNCTION("IMPORTRANGE(""https://docs.google.com/spreadsheets/d/11923uPwbBZFjjGgGUA6NLw09EwE0CqkOc4q9oUmW1yo/edit?usp=sharing"",""สุโขทัย!L494"")"),7300)</f>
        <v>7300</v>
      </c>
      <c r="M599" s="165"/>
      <c r="N599" s="168">
        <f ca="1">IFERROR(__xludf.DUMMYFUNCTION("IMPORTRANGE(""https://docs.google.com/spreadsheets/d/11923uPwbBZFjjGgGUA6NLw09EwE0CqkOc4q9oUmW1yo/edit?usp=sharing"",""สุโขทัย!M494"")"),0)</f>
        <v>0</v>
      </c>
      <c r="O599" s="168">
        <f t="shared" ca="1" si="126"/>
        <v>0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IFERROR(__xludf.DUMMYFUNCTION("IMPORTRANGE(""https://docs.google.com/spreadsheets/d/11923uPwbBZFjjGgGUA6NLw09EwE0CqkOc4q9oUmW1yo/edit?usp=sharing"",""สุโขทัย!L495"")"),0)</f>
        <v>0</v>
      </c>
      <c r="M600" s="168"/>
      <c r="N600" s="168">
        <f ca="1">IFERROR(__xludf.DUMMYFUNCTION("IMPORTRANGE(""https://docs.google.com/spreadsheets/d/11923uPwbBZFjjGgGUA6NLw09EwE0CqkOc4q9oUmW1yo/edit?usp=sharing"",""สุโขทัย!M495"")"),0)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IFERROR(__xludf.DUMMYFUNCTION("IMPORTRANGE(""https://docs.google.com/spreadsheets/d/11923uPwbBZFjjGgGUA6NLw09EwE0CqkOc4q9oUmW1yo/edit?usp=sharing"",""สุโขทัย!L496"")"),7300)</f>
        <v>7300</v>
      </c>
      <c r="M601" s="168"/>
      <c r="N601" s="168">
        <f ca="1">IFERROR(__xludf.DUMMYFUNCTION("IMPORTRANGE(""https://docs.google.com/spreadsheets/d/11923uPwbBZFjjGgGUA6NLw09EwE0CqkOc4q9oUmW1yo/edit?usp=sharing"",""สุโขทัย!M496"")"),0)</f>
        <v>0</v>
      </c>
      <c r="O601" s="168">
        <f t="shared" ca="1" si="126"/>
        <v>0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IFERROR(__xludf.DUMMYFUNCTION("IMPORTRANGE(""https://docs.google.com/spreadsheets/d/11923uPwbBZFjjGgGUA6NLw09EwE0CqkOc4q9oUmW1yo/edit?usp=sharing"",""สุโขทัย!M497"")"),0)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IFERROR(__xludf.DUMMYFUNCTION("IMPORTRANGE(""https://docs.google.com/spreadsheets/d/11923uPwbBZFjjGgGUA6NLw09EwE0CqkOc4q9oUmW1yo/edit?usp=sharing"",""สุโขทัย!M498"")"),0)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IFERROR(__xludf.DUMMYFUNCTION("IMPORTRANGE(""https://docs.google.com/spreadsheets/d/11923uPwbBZFjjGgGUA6NLw09EwE0CqkOc4q9oUmW1yo/edit?usp=sharing"",""สุโขทัย!M499"")"),0)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IFERROR(__xludf.DUMMYFUNCTION("IMPORTRANGE(""https://docs.google.com/spreadsheets/d/11923uPwbBZFjjGgGUA6NLw09EwE0CqkOc4q9oUmW1yo/edit?usp=sharing"",""สุโขทัย!M500"")"),0)</f>
        <v>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IFERROR(__xludf.DUMMYFUNCTION("IMPORTRANGE(""https://docs.google.com/spreadsheets/d/11923uPwbBZFjjGgGUA6NLw09EwE0CqkOc4q9oUmW1yo/edit?usp=sharing"",""สุโขทัย!J502"")"),0)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IFERROR(__xludf.DUMMYFUNCTION("IMPORTRANGE(""https://docs.google.com/spreadsheets/d/11923uPwbBZFjjGgGUA6NLw09EwE0CqkOc4q9oUmW1yo/edit?usp=sharing"",""สุโขทัย!J503"")"),1)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IFERROR(__xludf.DUMMYFUNCTION("IMPORTRANGE(""https://docs.google.com/spreadsheets/d/11923uPwbBZFjjGgGUA6NLw09EwE0CqkOc4q9oUmW1yo/edit?usp=sharing"",""สุโขทัย!J166"")"),0)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IFERROR(__xludf.DUMMYFUNCTION("IMPORTRANGE(""https://docs.google.com/spreadsheets/d/11923uPwbBZFjjGgGUA6NLw09EwE0CqkOc4q9oUmW1yo/edit?usp=sharing"",""สุโขทัย!J166"")"),0)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IFERROR(__xludf.DUMMYFUNCTION("IMPORTRANGE(""https://docs.google.com/spreadsheets/d/11923uPwbBZFjjGgGUA6NLw09EwE0CqkOc4q9oUmW1yo/edit?usp=sharing"",""สุโขทัย!I506"")"),100)</f>
        <v>100</v>
      </c>
      <c r="J611" s="162">
        <f ca="1">IFERROR(__xludf.DUMMYFUNCTION("IMPORTRANGE(""https://docs.google.com/spreadsheets/d/11923uPwbBZFjjGgGUA6NLw09EwE0CqkOc4q9oUmW1yo/edit?usp=sharing"",""สุโขทัย!J506"")"),0)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IFERROR(__xludf.DUMMYFUNCTION("IMPORTRANGE(""https://docs.google.com/spreadsheets/d/11923uPwbBZFjjGgGUA6NLw09EwE0CqkOc4q9oUmW1yo/edit?usp=sharing"",""สุโขทัย!I507"")"),0)</f>
        <v>0</v>
      </c>
      <c r="J612" s="197">
        <f ca="1">IFERROR(__xludf.DUMMYFUNCTION("IMPORTRANGE(""https://docs.google.com/spreadsheets/d/11923uPwbBZFjjGgGUA6NLw09EwE0CqkOc4q9oUmW1yo/edit?usp=sharing"",""สุโขทัย!J507"")"),347)</f>
        <v>347</v>
      </c>
      <c r="K612" s="163">
        <f t="shared" ca="1" si="127"/>
        <v>347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IFERROR(__xludf.DUMMYFUNCTION("IMPORTRANGE(""https://docs.google.com/spreadsheets/d/11923uPwbBZFjjGgGUA6NLw09EwE0CqkOc4q9oUmW1yo/edit?usp=sharing"",""สุโขทัย!I508"")"),0)</f>
        <v>0</v>
      </c>
      <c r="J613" s="197">
        <f ca="1">IFERROR(__xludf.DUMMYFUNCTION("IMPORTRANGE(""https://docs.google.com/spreadsheets/d/11923uPwbBZFjjGgGUA6NLw09EwE0CqkOc4q9oUmW1yo/edit?usp=sharing"",""สุโขทัย!J508"")"),0)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IFERROR(__xludf.DUMMYFUNCTION("IMPORTRANGE(""https://docs.google.com/spreadsheets/d/11923uPwbBZFjjGgGUA6NLw09EwE0CqkOc4q9oUmW1yo/edit?usp=sharing"",""สุโขทัย!I509"")"),0)</f>
        <v>0</v>
      </c>
      <c r="J614" s="197">
        <f ca="1">IFERROR(__xludf.DUMMYFUNCTION("IMPORTRANGE(""https://docs.google.com/spreadsheets/d/11923uPwbBZFjjGgGUA6NLw09EwE0CqkOc4q9oUmW1yo/edit?usp=sharing"",""สุโขทัย!J509"")"),0)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IFERROR(__xludf.DUMMYFUNCTION("IMPORTRANGE(""https://docs.google.com/spreadsheets/d/11923uPwbBZFjjGgGUA6NLw09EwE0CqkOc4q9oUmW1yo/edit?usp=sharing"",""สุโขทัย!I510"")"),0)</f>
        <v>0</v>
      </c>
      <c r="J615" s="197">
        <f ca="1">IFERROR(__xludf.DUMMYFUNCTION("IMPORTRANGE(""https://docs.google.com/spreadsheets/d/11923uPwbBZFjjGgGUA6NLw09EwE0CqkOc4q9oUmW1yo/edit?usp=sharing"",""สุโขทัย!J510"")"),0)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IFERROR(__xludf.DUMMYFUNCTION("IMPORTRANGE(""https://docs.google.com/spreadsheets/d/11923uPwbBZFjjGgGUA6NLw09EwE0CqkOc4q9oUmW1yo/edit?usp=sharing"",""สุโขทัย!I511"")"),0)</f>
        <v>0</v>
      </c>
      <c r="J616" s="197">
        <f ca="1">IFERROR(__xludf.DUMMYFUNCTION("IMPORTRANGE(""https://docs.google.com/spreadsheets/d/11923uPwbBZFjjGgGUA6NLw09EwE0CqkOc4q9oUmW1yo/edit?usp=sharing"",""สุโขทัย!J511"")"),0)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IFERROR(__xludf.DUMMYFUNCTION("IMPORTRANGE(""https://docs.google.com/spreadsheets/d/11923uPwbBZFjjGgGUA6NLw09EwE0CqkOc4q9oUmW1yo/edit?usp=sharing"",""สุโขทัย!I512"")"),0)</f>
        <v>0</v>
      </c>
      <c r="J617" s="187">
        <f ca="1">IFERROR(__xludf.DUMMYFUNCTION("IMPORTRANGE(""https://docs.google.com/spreadsheets/d/11923uPwbBZFjjGgGUA6NLw09EwE0CqkOc4q9oUmW1yo/edit?usp=sharing"",""สุโขทัย!J512"")"),0)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IFERROR(__xludf.DUMMYFUNCTION("IMPORTRANGE(""https://docs.google.com/spreadsheets/d/11923uPwbBZFjjGgGUA6NLw09EwE0CqkOc4q9oUmW1yo/edit?usp=sharing"",""สุโขทัย!I513"")"),0)</f>
        <v>0</v>
      </c>
      <c r="J618" s="188">
        <f ca="1">IFERROR(__xludf.DUMMYFUNCTION("IMPORTRANGE(""https://docs.google.com/spreadsheets/d/11923uPwbBZFjjGgGUA6NLw09EwE0CqkOc4q9oUmW1yo/edit?usp=sharing"",""สุโขทัย!J513"")"),0)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IFERROR(__xludf.DUMMYFUNCTION("IMPORTRANGE(""https://docs.google.com/spreadsheets/d/11923uPwbBZFjjGgGUA6NLw09EwE0CqkOc4q9oUmW1yo/edit?usp=sharing"",""สุโขทัย!I514"")"),0)</f>
        <v>0</v>
      </c>
      <c r="J619" s="188">
        <f ca="1">IFERROR(__xludf.DUMMYFUNCTION("IMPORTRANGE(""https://docs.google.com/spreadsheets/d/11923uPwbBZFjjGgGUA6NLw09EwE0CqkOc4q9oUmW1yo/edit?usp=sharing"",""สุโขทัย!J514"")"),0)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IFERROR(__xludf.DUMMYFUNCTION("IMPORTRANGE(""https://docs.google.com/spreadsheets/d/11923uPwbBZFjjGgGUA6NLw09EwE0CqkOc4q9oUmW1yo/edit?usp=sharing"",""สุโขทัย!I515"")"),0)</f>
        <v>0</v>
      </c>
      <c r="J620" s="202">
        <f ca="1">IFERROR(__xludf.DUMMYFUNCTION("IMPORTRANGE(""https://docs.google.com/spreadsheets/d/11923uPwbBZFjjGgGUA6NLw09EwE0CqkOc4q9oUmW1yo/edit?usp=sharing"",""สุโขทัย!J515"")"),0)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IFERROR(__xludf.DUMMYFUNCTION("IMPORTRANGE(""https://docs.google.com/spreadsheets/d/11923uPwbBZFjjGgGUA6NLw09EwE0CqkOc4q9oUmW1yo/edit?usp=sharing"",""สุโขทัย!I516"")"),0)</f>
        <v>0</v>
      </c>
      <c r="J621" s="202">
        <f ca="1">IFERROR(__xludf.DUMMYFUNCTION("IMPORTRANGE(""https://docs.google.com/spreadsheets/d/11923uPwbBZFjjGgGUA6NLw09EwE0CqkOc4q9oUmW1yo/edit?usp=sharing"",""สุโขทัย!J516"")"),0)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IFERROR(__xludf.DUMMYFUNCTION("IMPORTRANGE(""https://docs.google.com/spreadsheets/d/11923uPwbBZFjjGgGUA6NLw09EwE0CqkOc4q9oUmW1yo/edit?usp=sharing"",""สุโขทัย!I517"")"),0)</f>
        <v>0</v>
      </c>
      <c r="J622" s="188">
        <f ca="1">IFERROR(__xludf.DUMMYFUNCTION("IMPORTRANGE(""https://docs.google.com/spreadsheets/d/11923uPwbBZFjjGgGUA6NLw09EwE0CqkOc4q9oUmW1yo/edit?usp=sharing"",""สุโขทัย!J517"")"),0)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IFERROR(__xludf.DUMMYFUNCTION("IMPORTRANGE(""https://docs.google.com/spreadsheets/d/11923uPwbBZFjjGgGUA6NLw09EwE0CqkOc4q9oUmW1yo/edit?usp=sharing"",""สุโขทัย!I518"")"),0)</f>
        <v>0</v>
      </c>
      <c r="J623" s="188">
        <f ca="1">IFERROR(__xludf.DUMMYFUNCTION("IMPORTRANGE(""https://docs.google.com/spreadsheets/d/11923uPwbBZFjjGgGUA6NLw09EwE0CqkOc4q9oUmW1yo/edit?usp=sharing"",""สุโขทัย!J518"")"),0)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IFERROR(__xludf.DUMMYFUNCTION("IMPORTRANGE(""https://docs.google.com/spreadsheets/d/11923uPwbBZFjjGgGUA6NLw09EwE0CqkOc4q9oUmW1yo/edit?usp=sharing"",""สุโขทัย!I519"")"),0)</f>
        <v>0</v>
      </c>
      <c r="J624" s="187">
        <f ca="1">IFERROR(__xludf.DUMMYFUNCTION("IMPORTRANGE(""https://docs.google.com/spreadsheets/d/11923uPwbBZFjjGgGUA6NLw09EwE0CqkOc4q9oUmW1yo/edit?usp=sharing"",""สุโขทัย!J519"")"),0)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IFERROR(__xludf.DUMMYFUNCTION("IMPORTRANGE(""https://docs.google.com/spreadsheets/d/11923uPwbBZFjjGgGUA6NLw09EwE0CqkOc4q9oUmW1yo/edit?usp=sharing"",""สุโขทัย!I520"")"),0)</f>
        <v>0</v>
      </c>
      <c r="J625" s="188">
        <f ca="1">IFERROR(__xludf.DUMMYFUNCTION("IMPORTRANGE(""https://docs.google.com/spreadsheets/d/11923uPwbBZFjjGgGUA6NLw09EwE0CqkOc4q9oUmW1yo/edit?usp=sharing"",""สุโขทัย!J520"")"),0)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IFERROR(__xludf.DUMMYFUNCTION("IMPORTRANGE(""https://docs.google.com/spreadsheets/d/11923uPwbBZFjjGgGUA6NLw09EwE0CqkOc4q9oUmW1yo/edit?usp=sharing"",""สุโขทัย!I521"")"),0)</f>
        <v>0</v>
      </c>
      <c r="J626" s="188">
        <f ca="1">IFERROR(__xludf.DUMMYFUNCTION("IMPORTRANGE(""https://docs.google.com/spreadsheets/d/11923uPwbBZFjjGgGUA6NLw09EwE0CqkOc4q9oUmW1yo/edit?usp=sharing"",""สุโขทัย!J521"")"),0)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IFERROR(__xludf.DUMMYFUNCTION("IMPORTRANGE(""https://docs.google.com/spreadsheets/d/11923uPwbBZFjjGgGUA6NLw09EwE0CqkOc4q9oUmW1yo/edit?usp=sharing"",""สุโขทัย!I523"")"),6127231.12)</f>
        <v>6127231.1200000001</v>
      </c>
      <c r="J628" s="341">
        <f ca="1">IFERROR(__xludf.DUMMYFUNCTION("IMPORTRANGE(""https://docs.google.com/spreadsheets/d/11923uPwbBZFjjGgGUA6NLw09EwE0CqkOc4q9oUmW1yo/edit?usp=sharing"",""สุโขทัย!J523"")"),3919657.11)</f>
        <v>3919657.11</v>
      </c>
      <c r="K628" s="342">
        <f t="shared" ref="K628:K635" ca="1" si="129">IF(I628&gt;0,J628*100/I628,0)</f>
        <v>63.971099396035186</v>
      </c>
      <c r="L628" s="342"/>
      <c r="M628" s="342"/>
      <c r="N628" s="342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IFERROR(__xludf.DUMMYFUNCTION("IMPORTRANGE(""https://docs.google.com/spreadsheets/d/11923uPwbBZFjjGgGUA6NLw09EwE0CqkOc4q9oUmW1yo/edit?usp=sharing"",""สุโขทัย!I524"")"),426)</f>
        <v>426</v>
      </c>
      <c r="J629" s="341">
        <f ca="1">IFERROR(__xludf.DUMMYFUNCTION("IMPORTRANGE(""https://docs.google.com/spreadsheets/d/11923uPwbBZFjjGgGUA6NLw09EwE0CqkOc4q9oUmW1yo/edit?usp=sharing"",""สุโขทัย!J524"")"),288)</f>
        <v>288</v>
      </c>
      <c r="K629" s="342">
        <f t="shared" ca="1" si="129"/>
        <v>67.605633802816897</v>
      </c>
      <c r="L629" s="342"/>
      <c r="M629" s="342"/>
      <c r="N629" s="342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IFERROR(__xludf.DUMMYFUNCTION("IMPORTRANGE(""https://docs.google.com/spreadsheets/d/11923uPwbBZFjjGgGUA6NLw09EwE0CqkOc4q9oUmW1yo/edit?usp=sharing"",""สุโขทัย!I525"")"),7008091.62)</f>
        <v>7008091.6200000001</v>
      </c>
      <c r="J630" s="341">
        <f ca="1">IFERROR(__xludf.DUMMYFUNCTION("IMPORTRANGE(""https://docs.google.com/spreadsheets/d/11923uPwbBZFjjGgGUA6NLw09EwE0CqkOc4q9oUmW1yo/edit?usp=sharing"",""สุโขทัย!J525"")"),1426247.53)</f>
        <v>1426247.53</v>
      </c>
      <c r="K630" s="342">
        <f t="shared" ca="1" si="129"/>
        <v>20.351439554952623</v>
      </c>
      <c r="L630" s="342"/>
      <c r="M630" s="342"/>
      <c r="N630" s="342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IFERROR(__xludf.DUMMYFUNCTION("IMPORTRANGE(""https://docs.google.com/spreadsheets/d/11923uPwbBZFjjGgGUA6NLw09EwE0CqkOc4q9oUmW1yo/edit?usp=sharing"",""สุโขทัย!I526"")"),256)</f>
        <v>256</v>
      </c>
      <c r="J631" s="341">
        <f ca="1">IFERROR(__xludf.DUMMYFUNCTION("IMPORTRANGE(""https://docs.google.com/spreadsheets/d/11923uPwbBZFjjGgGUA6NLw09EwE0CqkOc4q9oUmW1yo/edit?usp=sharing"",""สุโขทัย!J526"")"),206)</f>
        <v>206</v>
      </c>
      <c r="K631" s="342">
        <f t="shared" ca="1" si="129"/>
        <v>80.46875</v>
      </c>
      <c r="L631" s="342"/>
      <c r="M631" s="342"/>
      <c r="N631" s="342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IFERROR(__xludf.DUMMYFUNCTION("IMPORTRANGE(""https://docs.google.com/spreadsheets/d/11923uPwbBZFjjGgGUA6NLw09EwE0CqkOc4q9oUmW1yo/edit?usp=sharing"",""สุโขทัย!I527"")"),2664010.23)</f>
        <v>2664010.23</v>
      </c>
      <c r="J632" s="341">
        <f ca="1">IFERROR(__xludf.DUMMYFUNCTION("IMPORTRANGE(""https://docs.google.com/spreadsheets/d/11923uPwbBZFjjGgGUA6NLw09EwE0CqkOc4q9oUmW1yo/edit?usp=sharing"",""สุโขทัย!J527"")"),683428.12)</f>
        <v>683428.12</v>
      </c>
      <c r="K632" s="342">
        <f t="shared" ca="1" si="129"/>
        <v>25.654110194614379</v>
      </c>
      <c r="L632" s="342"/>
      <c r="M632" s="342"/>
      <c r="N632" s="342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IFERROR(__xludf.DUMMYFUNCTION("IMPORTRANGE(""https://docs.google.com/spreadsheets/d/11923uPwbBZFjjGgGUA6NLw09EwE0CqkOc4q9oUmW1yo/edit?usp=sharing"",""สุโขทัย!I528"")"),180)</f>
        <v>180</v>
      </c>
      <c r="J633" s="341">
        <f ca="1">IFERROR(__xludf.DUMMYFUNCTION("IMPORTRANGE(""https://docs.google.com/spreadsheets/d/11923uPwbBZFjjGgGUA6NLw09EwE0CqkOc4q9oUmW1yo/edit?usp=sharing"",""สุโขทัย!J528"")"),98)</f>
        <v>98</v>
      </c>
      <c r="K633" s="342">
        <f t="shared" ca="1" si="129"/>
        <v>54.444444444444443</v>
      </c>
      <c r="L633" s="342"/>
      <c r="M633" s="342"/>
      <c r="N633" s="342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IFERROR(__xludf.DUMMYFUNCTION("IMPORTRANGE(""https://docs.google.com/spreadsheets/d/11923uPwbBZFjjGgGUA6NLw09EwE0CqkOc4q9oUmW1yo/edit?usp=sharing"",""สุโขทัย!I529"")"),5000000)</f>
        <v>5000000</v>
      </c>
      <c r="J634" s="341">
        <f ca="1">IFERROR(__xludf.DUMMYFUNCTION("IMPORTRANGE(""https://docs.google.com/spreadsheets/d/11923uPwbBZFjjGgGUA6NLw09EwE0CqkOc4q9oUmW1yo/edit?usp=sharing"",""สุโขทัย!J529"")"),2140000)</f>
        <v>2140000</v>
      </c>
      <c r="K634" s="342">
        <f t="shared" ca="1" si="129"/>
        <v>42.8</v>
      </c>
      <c r="L634" s="342"/>
      <c r="M634" s="342"/>
      <c r="N634" s="342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IFERROR(__xludf.DUMMYFUNCTION("IMPORTRANGE(""https://docs.google.com/spreadsheets/d/11923uPwbBZFjjGgGUA6NLw09EwE0CqkOc4q9oUmW1yo/edit?usp=sharing"",""สุโขทัย!I530"")"),114)</f>
        <v>114</v>
      </c>
      <c r="J635" s="504">
        <f ca="1">IFERROR(__xludf.DUMMYFUNCTION("IMPORTRANGE(""https://docs.google.com/spreadsheets/d/11923uPwbBZFjjGgGUA6NLw09EwE0CqkOc4q9oUmW1yo/edit?usp=sharing"",""สุโขทัย!J530"")"),44)</f>
        <v>44</v>
      </c>
      <c r="K635" s="486">
        <f t="shared" ca="1" si="129"/>
        <v>38.596491228070178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27095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5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27095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27095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5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IFERROR(__xludf.DUMMYFUNCTION("IMPORTRANGE(""https://docs.google.com/spreadsheets/d/11923uPwbBZFjjGgGUA6NLw09EwE0CqkOc4q9oUmW1yo/edit?usp=sharing"",""สุโขทัย!J541"")"),0)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5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IFERROR(__xludf.DUMMYFUNCTION("IMPORTRANGE(""https://docs.google.com/spreadsheets/d/11923uPwbBZFjjGgGUA6NLw09EwE0CqkOc4q9oUmW1yo/edit?usp=sharing"",""สุโขทัย!J542"")"),0)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5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IFERROR(__xludf.DUMMYFUNCTION("IMPORTRANGE(""https://docs.google.com/spreadsheets/d/11923uPwbBZFjjGgGUA6NLw09EwE0CqkOc4q9oUmW1yo/edit?usp=sharing"",""สุโขทัย!I543"")"),0)</f>
        <v>0</v>
      </c>
      <c r="J648" s="535">
        <f ca="1">IFERROR(__xludf.DUMMYFUNCTION("IMPORTRANGE(""https://docs.google.com/spreadsheets/d/11923uPwbBZFjjGgGUA6NLw09EwE0CqkOc4q9oUmW1yo/edit?usp=sharing"",""สุโขทัย!J543"")"),0)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IFERROR(__xludf.DUMMYFUNCTION("IMPORTRANGE(""https://docs.google.com/spreadsheets/d/11923uPwbBZFjjGgGUA6NLw09EwE0CqkOc4q9oUmW1yo/edit?usp=sharing"",""สุโขทัย!L543"")"),0)</f>
        <v>0</v>
      </c>
      <c r="M648" s="520"/>
      <c r="N648" s="537">
        <f ca="1">IFERROR(__xludf.DUMMYFUNCTION("IMPORTRANGE(""https://docs.google.com/spreadsheets/d/11923uPwbBZFjjGgGUA6NLw09EwE0CqkOc4q9oUmW1yo/edit?usp=sharing"",""สุโขทัย!M543"")"),0)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5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IFERROR(__xludf.DUMMYFUNCTION("IMPORTRANGE(""https://docs.google.com/spreadsheets/d/11923uPwbBZFjjGgGUA6NLw09EwE0CqkOc4q9oUmW1yo/edit?usp=sharing"",""สุโขทัย!I544"")"),0)</f>
        <v>0</v>
      </c>
      <c r="J649" s="535">
        <f ca="1">IFERROR(__xludf.DUMMYFUNCTION("IMPORTRANGE(""https://docs.google.com/spreadsheets/d/11923uPwbBZFjjGgGUA6NLw09EwE0CqkOc4q9oUmW1yo/edit?usp=sharing"",""สุโขทัย!J544"")"),0)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IFERROR(__xludf.DUMMYFUNCTION("IMPORTRANGE(""https://docs.google.com/spreadsheets/d/11923uPwbBZFjjGgGUA6NLw09EwE0CqkOc4q9oUmW1yo/edit?usp=sharing"",""สุโขทัย!L544"")"),0)</f>
        <v>0</v>
      </c>
      <c r="M649" s="520"/>
      <c r="N649" s="537">
        <f ca="1">IFERROR(__xludf.DUMMYFUNCTION("IMPORTRANGE(""https://docs.google.com/spreadsheets/d/11923uPwbBZFjjGgGUA6NLw09EwE0CqkOc4q9oUmW1yo/edit?usp=sharing"",""สุโขทัย!M544"")"),0)</f>
        <v>0</v>
      </c>
      <c r="O649" s="536">
        <f t="shared" ca="1" si="132"/>
        <v>0</v>
      </c>
      <c r="P649" s="536"/>
    </row>
    <row r="650" spans="1:16" ht="21.75" customHeight="1" x14ac:dyDescent="0.45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IFERROR(__xludf.DUMMYFUNCTION("IMPORTRANGE(""https://docs.google.com/spreadsheets/d/11923uPwbBZFjjGgGUA6NLw09EwE0CqkOc4q9oUmW1yo/edit?usp=sharing"",""สุโขทัย!I545"")"),0)</f>
        <v>0</v>
      </c>
      <c r="J650" s="535">
        <f ca="1">IFERROR(__xludf.DUMMYFUNCTION("IMPORTRANGE(""https://docs.google.com/spreadsheets/d/11923uPwbBZFjjGgGUA6NLw09EwE0CqkOc4q9oUmW1yo/edit?usp=sharing"",""สุโขทัย!J545"")"),0)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IFERROR(__xludf.DUMMYFUNCTION("IMPORTRANGE(""https://docs.google.com/spreadsheets/d/11923uPwbBZFjjGgGUA6NLw09EwE0CqkOc4q9oUmW1yo/edit?usp=sharing"",""สุโขทัย!L545"")"),0)</f>
        <v>0</v>
      </c>
      <c r="M650" s="520"/>
      <c r="N650" s="537">
        <f ca="1">IFERROR(__xludf.DUMMYFUNCTION("IMPORTRANGE(""https://docs.google.com/spreadsheets/d/11923uPwbBZFjjGgGUA6NLw09EwE0CqkOc4q9oUmW1yo/edit?usp=sharing"",""สุโขทัย!M545"")"),0)</f>
        <v>0</v>
      </c>
      <c r="O650" s="536">
        <f t="shared" ca="1" si="132"/>
        <v>0</v>
      </c>
      <c r="P650" s="536"/>
    </row>
    <row r="651" spans="1:16" ht="21.75" customHeight="1" x14ac:dyDescent="0.45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IFERROR(__xludf.DUMMYFUNCTION("IMPORTRANGE(""https://docs.google.com/spreadsheets/d/11923uPwbBZFjjGgGUA6NLw09EwE0CqkOc4q9oUmW1yo/edit?usp=sharing"",""สุโขทัย!I546"")"),719)</f>
        <v>719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IFERROR(__xludf.DUMMYFUNCTION("IMPORTRANGE(""https://docs.google.com/spreadsheets/d/11923uPwbBZFjjGgGUA6NLw09EwE0CqkOc4q9oUmW1yo/edit?usp=sharing"",""สุโขทัย!L546"")"),17975)</f>
        <v>17975</v>
      </c>
      <c r="M651" s="520"/>
      <c r="N651" s="537">
        <f ca="1">IFERROR(__xludf.DUMMYFUNCTION("IMPORTRANGE(""https://docs.google.com/spreadsheets/d/11923uPwbBZFjjGgGUA6NLw09EwE0CqkOc4q9oUmW1yo/edit?usp=sharing"",""สุโขทัย!M546"")"),0)</f>
        <v>0</v>
      </c>
      <c r="O651" s="536">
        <f t="shared" ca="1" si="132"/>
        <v>0</v>
      </c>
      <c r="P651" s="536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IFERROR(__xludf.DUMMYFUNCTION("IMPORTRANGE(""https://docs.google.com/spreadsheets/d/11923uPwbBZFjjGgGUA6NLw09EwE0CqkOc4q9oUmW1yo/edit?usp=sharing"",""สุโขทัย!J547"")"),0)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IFERROR(__xludf.DUMMYFUNCTION("IMPORTRANGE(""https://docs.google.com/spreadsheets/d/11923uPwbBZFjjGgGUA6NLw09EwE0CqkOc4q9oUmW1yo/edit?usp=sharing"",""สุโขทัย!J548"")"),0)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IFERROR(__xludf.DUMMYFUNCTION("IMPORTRANGE(""https://docs.google.com/spreadsheets/d/11923uPwbBZFjjGgGUA6NLw09EwE0CqkOc4q9oUmW1yo/edit?usp=sharing"",""สุโขทัย!J550"")"),0)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IFERROR(__xludf.DUMMYFUNCTION("IMPORTRANGE(""https://docs.google.com/spreadsheets/d/11923uPwbBZFjjGgGUA6NLw09EwE0CqkOc4q9oUmW1yo/edit?usp=sharing"",""สุโขทัย!J551"")"),0)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IFERROR(__xludf.DUMMYFUNCTION("IMPORTRANGE(""https://docs.google.com/spreadsheets/d/11923uPwbBZFjjGgGUA6NLw09EwE0CqkOc4q9oUmW1yo/edit?usp=sharing"",""สุโขทัย!J552"")"),0)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IFERROR(__xludf.DUMMYFUNCTION("IMPORTRANGE(""https://docs.google.com/spreadsheets/d/11923uPwbBZFjjGgGUA6NLw09EwE0CqkOc4q9oUmW1yo/edit?usp=sharing"",""สุโขทัย!J553"")"),0)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IFERROR(__xludf.DUMMYFUNCTION("IMPORTRANGE(""https://docs.google.com/spreadsheets/d/11923uPwbBZFjjGgGUA6NLw09EwE0CqkOc4q9oUmW1yo/edit?usp=sharing"",""สุโขทัย!J554"")"),0)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IFERROR(__xludf.DUMMYFUNCTION("IMPORTRANGE(""https://docs.google.com/spreadsheets/d/11923uPwbBZFjjGgGUA6NLw09EwE0CqkOc4q9oUmW1yo/edit?usp=sharing"",""สุโขทัย!J555"")"),0)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5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IFERROR(__xludf.DUMMYFUNCTION("IMPORTRANGE(""https://docs.google.com/spreadsheets/d/11923uPwbBZFjjGgGUA6NLw09EwE0CqkOc4q9oUmW1yo/edit?usp=sharing"",""สุโขทัย!J556"")"),0)</f>
        <v>0</v>
      </c>
      <c r="K661" s="536"/>
      <c r="L661" s="521">
        <f ca="1">IFERROR(__xludf.DUMMYFUNCTION("IMPORTRANGE(""https://docs.google.com/spreadsheets/d/11923uPwbBZFjjGgGUA6NLw09EwE0CqkOc4q9oUmW1yo/edit?usp=sharing"",""สุโขทัย!L556"")"),9120)</f>
        <v>9120</v>
      </c>
      <c r="M661" s="520"/>
      <c r="N661" s="537">
        <f ca="1">IFERROR(__xludf.DUMMYFUNCTION("IMPORTRANGE(""https://docs.google.com/spreadsheets/d/11923uPwbBZFjjGgGUA6NLw09EwE0CqkOc4q9oUmW1yo/edit?usp=sharing"",""สุโขทัย!M556"")"),0)</f>
        <v>0</v>
      </c>
      <c r="O661" s="536">
        <f ca="1">IF(L661&gt;0,N661*100/L661,0)</f>
        <v>0</v>
      </c>
      <c r="P661" s="536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IFERROR(__xludf.DUMMYFUNCTION("IMPORTRANGE(""https://docs.google.com/spreadsheets/d/11923uPwbBZFjjGgGUA6NLw09EwE0CqkOc4q9oUmW1yo/edit?usp=sharing"",""สุโขทัย!J557"")"),0)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IFERROR(__xludf.DUMMYFUNCTION("IMPORTRANGE(""https://docs.google.com/spreadsheets/d/11923uPwbBZFjjGgGUA6NLw09EwE0CqkOc4q9oUmW1yo/edit?usp=sharing"",""สุโขทัย!I558"")"),228)</f>
        <v>228</v>
      </c>
      <c r="J663" s="535">
        <f ca="1">IFERROR(__xludf.DUMMYFUNCTION("IMPORTRANGE(""https://docs.google.com/spreadsheets/d/11923uPwbBZFjjGgGUA6NLw09EwE0CqkOc4q9oUmW1yo/edit?usp=sharing"",""สุโขทัย!J558"")"),0)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5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IFERROR(__xludf.DUMMYFUNCTION("IMPORTRANGE(""https://docs.google.com/spreadsheets/d/11923uPwbBZFjjGgGUA6NLw09EwE0CqkOc4q9oUmW1yo/edit?usp=sharing"",""สุโขทัย!I560"")"),0)</f>
        <v>0</v>
      </c>
      <c r="J665" s="535">
        <f ca="1">IFERROR(__xludf.DUMMYFUNCTION("IMPORTRANGE(""https://docs.google.com/spreadsheets/d/11923uPwbBZFjjGgGUA6NLw09EwE0CqkOc4q9oUmW1yo/edit?usp=sharing"",""สุโขทัย!J560"")"),0)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IFERROR(__xludf.DUMMYFUNCTION("IMPORTRANGE(""https://docs.google.com/spreadsheets/d/11923uPwbBZFjjGgGUA6NLw09EwE0CqkOc4q9oUmW1yo/edit?usp=sharing"",""สุโขทัย!L560"")"),0)</f>
        <v>0</v>
      </c>
      <c r="M665" s="520"/>
      <c r="N665" s="537">
        <f ca="1">IFERROR(__xludf.DUMMYFUNCTION("IMPORTRANGE(""https://docs.google.com/spreadsheets/d/11923uPwbBZFjjGgGUA6NLw09EwE0CqkOc4q9oUmW1yo/edit?usp=sharing"",""สุโขทัย!M560"")"),0)</f>
        <v>0</v>
      </c>
      <c r="O665" s="536">
        <f ca="1">IF(L665&gt;0,N665*100/L665,0)</f>
        <v>0</v>
      </c>
      <c r="P665" s="536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IFERROR(__xludf.DUMMYFUNCTION("IMPORTRANGE(""https://docs.google.com/spreadsheets/d/11923uPwbBZFjjGgGUA6NLw09EwE0CqkOc4q9oUmW1yo/edit?usp=sharing"",""สุโขทัย!J561"")"),0)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IFERROR(__xludf.DUMMYFUNCTION("IMPORTRANGE(""https://docs.google.com/spreadsheets/d/11923uPwbBZFjjGgGUA6NLw09EwE0CqkOc4q9oUmW1yo/edit?usp=sharing"",""สุโขทัย!J562"")"),0)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IFERROR(__xludf.DUMMYFUNCTION("IMPORTRANGE(""https://docs.google.com/spreadsheets/d/11923uPwbBZFjjGgGUA6NLw09EwE0CqkOc4q9oUmW1yo/edit?usp=sharing"",""สุโขทัย!I563"")"),0)</f>
        <v>0</v>
      </c>
      <c r="J668" s="535">
        <f ca="1">IFERROR(__xludf.DUMMYFUNCTION("IMPORTRANGE(""https://docs.google.com/spreadsheets/d/11923uPwbBZFjjGgGUA6NLw09EwE0CqkOc4q9oUmW1yo/edit?usp=sharing"",""สุโขทัย!J563"")"),0)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IFERROR(__xludf.DUMMYFUNCTION("IMPORTRANGE(""https://docs.google.com/spreadsheets/d/11923uPwbBZFjjGgGUA6NLw09EwE0CqkOc4q9oUmW1yo/edit?usp=sharing"",""สุโขทัย!L563"")"),0)</f>
        <v>0</v>
      </c>
      <c r="M668" s="520"/>
      <c r="N668" s="537">
        <f ca="1">IFERROR(__xludf.DUMMYFUNCTION("IMPORTRANGE(""https://docs.google.com/spreadsheets/d/11923uPwbBZFjjGgGUA6NLw09EwE0CqkOc4q9oUmW1yo/edit?usp=sharing"",""สุโขทัย!M563"")"),0)</f>
        <v>0</v>
      </c>
      <c r="O668" s="536">
        <f ca="1">IF(L668&gt;0,N668*100/L668,0)</f>
        <v>0</v>
      </c>
      <c r="P668" s="536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IFERROR(__xludf.DUMMYFUNCTION("IMPORTRANGE(""https://docs.google.com/spreadsheets/d/11923uPwbBZFjjGgGUA6NLw09EwE0CqkOc4q9oUmW1yo/edit?usp=sharing"",""สุโขทัย!J564"")"),0)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IFERROR(__xludf.DUMMYFUNCTION("IMPORTRANGE(""https://docs.google.com/spreadsheets/d/11923uPwbBZFjjGgGUA6NLw09EwE0CqkOc4q9oUmW1yo/edit?usp=sharing"",""สุโขทัย!J565"")"),0)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5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IFERROR(__xludf.DUMMYFUNCTION("IMPORTRANGE(""https://docs.google.com/spreadsheets/d/11923uPwbBZFjjGgGUA6NLw09EwE0CqkOc4q9oUmW1yo/edit?usp=sharing"",""สุโขทัย!I566"")"),0)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IFERROR(__xludf.DUMMYFUNCTION("IMPORTRANGE(""https://docs.google.com/spreadsheets/d/11923uPwbBZFjjGgGUA6NLw09EwE0CqkOc4q9oUmW1yo/edit?usp=sharing"",""สุโขทัย!L566"")"),0)</f>
        <v>0</v>
      </c>
      <c r="M671" s="520"/>
      <c r="N671" s="537">
        <f ca="1">IFERROR(__xludf.DUMMYFUNCTION("IMPORTRANGE(""https://docs.google.com/spreadsheets/d/11923uPwbBZFjjGgGUA6NLw09EwE0CqkOc4q9oUmW1yo/edit?usp=sharing"",""สุโขทัย!M566"")"),0)</f>
        <v>0</v>
      </c>
      <c r="O671" s="536">
        <f ca="1">IF(L671&gt;0,N671*100/L671,0)</f>
        <v>0</v>
      </c>
      <c r="P671" s="536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IFERROR(__xludf.DUMMYFUNCTION("IMPORTRANGE(""https://docs.google.com/spreadsheets/d/11923uPwbBZFjjGgGUA6NLw09EwE0CqkOc4q9oUmW1yo/edit?usp=sharing"",""สุโขทัย!J567"")"),0)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IFERROR(__xludf.DUMMYFUNCTION("IMPORTRANGE(""https://docs.google.com/spreadsheets/d/11923uPwbBZFjjGgGUA6NLw09EwE0CqkOc4q9oUmW1yo/edit?usp=sharing"",""สุโขทัย!J568"")"),0)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IFERROR(__xludf.DUMMYFUNCTION("IMPORTRANGE(""https://docs.google.com/spreadsheets/d/11923uPwbBZFjjGgGUA6NLw09EwE0CqkOc4q9oUmW1yo/edit?usp=sharing"",""สุโขทัย!J569"")"),0)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IFERROR(__xludf.DUMMYFUNCTION("IMPORTRANGE(""https://docs.google.com/spreadsheets/d/11923uPwbBZFjjGgGUA6NLw09EwE0CqkOc4q9oUmW1yo/edit?usp=sharing"",""สุโขทัย!J570"")"),0)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IFERROR(__xludf.DUMMYFUNCTION("IMPORTRANGE(""https://docs.google.com/spreadsheets/d/11923uPwbBZFjjGgGUA6NLw09EwE0CqkOc4q9oUmW1yo/edit?usp=sharing"",""สุโขทัย!J571"")"),0)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5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IFERROR(__xludf.DUMMYFUNCTION("IMPORTRANGE(""https://docs.google.com/spreadsheets/d/11923uPwbBZFjjGgGUA6NLw09EwE0CqkOc4q9oUmW1yo/edit?usp=sharing"",""สุโขทัย!J572"")"),0)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35">
      <c r="A2" s="577" t="s">
        <v>290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3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5635621.7000000002</v>
      </c>
      <c r="M8" s="23">
        <f t="shared" ca="1" si="0"/>
        <v>2882118.7</v>
      </c>
      <c r="N8" s="23">
        <f t="shared" ca="1" si="0"/>
        <v>3684970.38</v>
      </c>
      <c r="O8" s="22">
        <f t="shared" ref="O8:O16" ca="1" si="1">IF(L8&gt;0,N8*100/L8,0)</f>
        <v>65.387113900849656</v>
      </c>
      <c r="P8" s="22">
        <f t="shared" ref="P8:P16" ca="1" si="2">IF(M8&gt;0,N8*100/M8,0)</f>
        <v>127.85630168528451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5635621.7000000002</v>
      </c>
      <c r="M10" s="30">
        <f t="shared" ca="1" si="4"/>
        <v>2882118.7</v>
      </c>
      <c r="N10" s="30">
        <f t="shared" ca="1" si="4"/>
        <v>3684970.38</v>
      </c>
      <c r="O10" s="29">
        <f t="shared" ca="1" si="1"/>
        <v>65.387113900849656</v>
      </c>
      <c r="P10" s="29">
        <f t="shared" ca="1" si="2"/>
        <v>127.85630168528451</v>
      </c>
    </row>
    <row r="11" spans="1:16" ht="21.75" customHeight="1" x14ac:dyDescent="0.45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4790192</v>
      </c>
      <c r="M12" s="39">
        <f t="shared" ca="1" si="6"/>
        <v>2036689</v>
      </c>
      <c r="N12" s="39">
        <f t="shared" ca="1" si="6"/>
        <v>2839540.6799999997</v>
      </c>
      <c r="O12" s="39">
        <f t="shared" ca="1" si="1"/>
        <v>59.278222668318932</v>
      </c>
      <c r="P12" s="39">
        <f t="shared" ca="1" si="2"/>
        <v>139.4194538292297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1880100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2910092</v>
      </c>
      <c r="M14" s="39">
        <f t="shared" si="8"/>
        <v>0</v>
      </c>
      <c r="N14" s="39">
        <f t="shared" ca="1" si="8"/>
        <v>1113952.0900000001</v>
      </c>
      <c r="O14" s="39">
        <f t="shared" ca="1" si="1"/>
        <v>38.278930356840959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845429.7</v>
      </c>
      <c r="M16" s="39">
        <f t="shared" ca="1" si="10"/>
        <v>845429.7</v>
      </c>
      <c r="N16" s="39">
        <f t="shared" ca="1" si="10"/>
        <v>845429.7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3430894.7</v>
      </c>
      <c r="M18" s="23">
        <f t="shared" ca="1" si="11"/>
        <v>2882118.7</v>
      </c>
      <c r="N18" s="23">
        <f t="shared" ca="1" si="11"/>
        <v>2571018.29</v>
      </c>
      <c r="O18" s="22">
        <f t="shared" ref="O18:O20" ca="1" si="12">IF(L18&gt;0,N18*100/L18,0)</f>
        <v>74.937254413549908</v>
      </c>
      <c r="P18" s="22">
        <f t="shared" ref="P18:P26" ca="1" si="13">IF(M18&gt;0,N18*100/M18,0)</f>
        <v>89.205843256906803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3430894.7</v>
      </c>
      <c r="M20" s="30">
        <f t="shared" ca="1" si="15"/>
        <v>2882118.7</v>
      </c>
      <c r="N20" s="30">
        <f t="shared" ca="1" si="15"/>
        <v>2571018.29</v>
      </c>
      <c r="O20" s="29">
        <f t="shared" ca="1" si="12"/>
        <v>74.937254413549908</v>
      </c>
      <c r="P20" s="29">
        <f t="shared" ca="1" si="13"/>
        <v>89.205843256906803</v>
      </c>
    </row>
    <row r="21" spans="1:16" ht="21.75" customHeight="1" x14ac:dyDescent="0.45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2585465</v>
      </c>
      <c r="M22" s="42">
        <f t="shared" ca="1" si="18"/>
        <v>2036689</v>
      </c>
      <c r="N22" s="39">
        <f t="shared" ca="1" si="18"/>
        <v>1725588.5899999999</v>
      </c>
      <c r="O22" s="39">
        <f t="shared" ca="1" si="17"/>
        <v>66.741904841102084</v>
      </c>
      <c r="P22" s="39">
        <f t="shared" ca="1" si="13"/>
        <v>84.725188283532731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1880100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705365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845429.7</v>
      </c>
      <c r="M26" s="50">
        <f t="shared" ca="1" si="22"/>
        <v>845429.7</v>
      </c>
      <c r="N26" s="50">
        <f t="shared" ca="1" si="22"/>
        <v>845429.7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2204727</v>
      </c>
      <c r="M28" s="23">
        <f t="shared" si="23"/>
        <v>0</v>
      </c>
      <c r="N28" s="23">
        <f t="shared" ca="1" si="23"/>
        <v>1113952.0900000001</v>
      </c>
      <c r="O28" s="22">
        <f t="shared" ref="O28:O30" ca="1" si="24">IF(L28&gt;0,N28*100/L28,0)</f>
        <v>50.525624714533826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2204727</v>
      </c>
      <c r="M30" s="30">
        <f t="shared" si="27"/>
        <v>0</v>
      </c>
      <c r="N30" s="30">
        <f t="shared" ca="1" si="27"/>
        <v>1113952.0900000001</v>
      </c>
      <c r="O30" s="29">
        <f t="shared" ca="1" si="24"/>
        <v>50.525624714533826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2204727</v>
      </c>
      <c r="M32" s="39">
        <f t="shared" si="30"/>
        <v>0</v>
      </c>
      <c r="N32" s="39">
        <f t="shared" ca="1" si="30"/>
        <v>1113952.0900000001</v>
      </c>
      <c r="O32" s="39">
        <f t="shared" ca="1" si="29"/>
        <v>50.525624714533826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2204727</v>
      </c>
      <c r="M34" s="39">
        <f t="shared" si="32"/>
        <v>0</v>
      </c>
      <c r="N34" s="39">
        <f t="shared" ca="1" si="32"/>
        <v>1113952.0900000001</v>
      </c>
      <c r="O34" s="39">
        <f t="shared" ca="1" si="29"/>
        <v>50.525624714533826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3430894.7</v>
      </c>
      <c r="M37" s="55">
        <f t="shared" ca="1" si="33"/>
        <v>2882118.7</v>
      </c>
      <c r="N37" s="55">
        <f t="shared" ca="1" si="33"/>
        <v>2571018.29</v>
      </c>
      <c r="O37" s="56">
        <f t="shared" ca="1" si="29"/>
        <v>74.937254413549908</v>
      </c>
      <c r="P37" s="56">
        <f t="shared" ca="1" si="25"/>
        <v>89.205843256906803</v>
      </c>
    </row>
    <row r="38" spans="1:16" ht="21.75" customHeight="1" x14ac:dyDescent="0.45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1487129.7</v>
      </c>
      <c r="M41" s="79">
        <f t="shared" ca="1" si="34"/>
        <v>1305483.7</v>
      </c>
      <c r="N41" s="79">
        <f t="shared" ca="1" si="34"/>
        <v>1231133.33</v>
      </c>
      <c r="O41" s="78">
        <f t="shared" ref="O41:O43" ca="1" si="35">IF(L41&gt;0,N41*100/L41,0)</f>
        <v>82.785874695394767</v>
      </c>
      <c r="P41" s="78">
        <f t="shared" ref="P41:P43" ca="1" si="36">IF(M41&gt;0,N41*100/M41,0)</f>
        <v>94.304764586490052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1487129.7</v>
      </c>
      <c r="M43" s="79">
        <f t="shared" ca="1" si="38"/>
        <v>1305483.7</v>
      </c>
      <c r="N43" s="79">
        <f t="shared" ca="1" si="38"/>
        <v>1231133.33</v>
      </c>
      <c r="O43" s="78">
        <f t="shared" ca="1" si="35"/>
        <v>82.785874695394767</v>
      </c>
      <c r="P43" s="78">
        <f t="shared" ca="1" si="36"/>
        <v>94.304764586490052</v>
      </c>
    </row>
    <row r="44" spans="1:16" ht="21.75" customHeight="1" x14ac:dyDescent="0.45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734100</v>
      </c>
      <c r="M45" s="50">
        <f ca="1">IFERROR(__xludf.DUMMYFUNCTION("IMPORTRANGE(""https://docs.google.com/spreadsheets/d/1Yj_ptqi66GCucihVvJfMjLAmec39IyEx_6qawtMGysU/edit?usp=sharing"",""สบก!Q35"")"),552454)</f>
        <v>552454</v>
      </c>
      <c r="N45" s="50">
        <f ca="1">IFERROR(__xludf.DUMMYFUNCTION("IMPORTRANGE(""https://docs.google.com/spreadsheets/d/1Yj_ptqi66GCucihVvJfMjLAmec39IyEx_6qawtMGysU/edit?usp=sharing"",""สบก!R35"")"),478103.63)</f>
        <v>478103.63</v>
      </c>
      <c r="O45" s="39">
        <f ca="1">IF(L45&gt;0,N45*100/L45,0)</f>
        <v>65.127861326794715</v>
      </c>
      <c r="P45" s="39">
        <f ca="1">IF(M45&gt;0,N45*100/M45,0)</f>
        <v>86.541798955207128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IFERROR(__xludf.DUMMYFUNCTION("IMPORTRANGE(""https://docs.google.com/spreadsheets/d/1Yj_ptqi66GCucihVvJfMjLAmec39IyEx_6qawtMGysU/edit?usp=sharing"",""สบก!M35"")"),734100)</f>
        <v>734100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IFERROR(__xludf.DUMMYFUNCTION("IMPORTRANGE(""https://docs.google.com/spreadsheets/d/1Yj_ptqi66GCucihVvJfMjLAmec39IyEx_6qawtMGysU/edit?usp=sharing"",""สบก!N35"")"),0)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IFERROR(__xludf.DUMMYFUNCTION("IMPORTRANGE(""https://docs.google.com/spreadsheets/d/1Yj_ptqi66GCucihVvJfMjLAmec39IyEx_6qawtMGysU/edit?usp=sharing"",""สบก!O35"")"),753029.7)</f>
        <v>753029.7</v>
      </c>
      <c r="M49" s="50">
        <f ca="1">L49</f>
        <v>753029.7</v>
      </c>
      <c r="N49" s="50">
        <f ca="1">IFERROR(__xludf.DUMMYFUNCTION("IMPORTRANGE(""https://docs.google.com/spreadsheets/d/1Yj_ptqi66GCucihVvJfMjLAmec39IyEx_6qawtMGysU/edit?usp=sharing"",""สบก!S35"")"),753029.7)</f>
        <v>753029.7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321590</v>
      </c>
      <c r="N53" s="121">
        <f t="shared" ca="1" si="39"/>
        <v>317901</v>
      </c>
      <c r="O53" s="120">
        <f t="shared" ref="O53:O55" ca="1" si="40">IF(L53&gt;0,N53*100/L53,0)</f>
        <v>79.475250000000003</v>
      </c>
      <c r="P53" s="120">
        <f t="shared" ref="P53:P55" ca="1" si="41">IF(M53&gt;0,N53*100/M53,0)</f>
        <v>98.852887216642316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321590</v>
      </c>
      <c r="N55" s="121">
        <f t="shared" ca="1" si="43"/>
        <v>317901</v>
      </c>
      <c r="O55" s="120">
        <f t="shared" ca="1" si="40"/>
        <v>79.475250000000003</v>
      </c>
      <c r="P55" s="120">
        <f t="shared" ca="1" si="41"/>
        <v>98.852887216642316</v>
      </c>
    </row>
    <row r="56" spans="1:16" ht="21.75" customHeight="1" x14ac:dyDescent="0.45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IFERROR(__xludf.DUMMYFUNCTION("IMPORTRANGE(""https://docs.google.com/spreadsheets/d/1Yj_ptqi66GCucihVvJfMjLAmec39IyEx_6qawtMGysU/edit?usp=sharing"",""สบก!Z35"")"),321590)</f>
        <v>321590</v>
      </c>
      <c r="N57" s="50">
        <f ca="1">IFERROR(__xludf.DUMMYFUNCTION("IMPORTRANGE(""https://docs.google.com/spreadsheets/d/1Yj_ptqi66GCucihVvJfMjLAmec39IyEx_6qawtMGysU/edit?usp=sharing"",""สบก!AA35"")"),317901)</f>
        <v>317901</v>
      </c>
      <c r="O57" s="39">
        <f ca="1">IF(L57&gt;0,N57*100/L57,0)</f>
        <v>79.475250000000003</v>
      </c>
      <c r="P57" s="39">
        <f ca="1">IF(M57&gt;0,N57*100/M57,0)</f>
        <v>98.852887216642316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IFERROR(__xludf.DUMMYFUNCTION("IMPORTRANGE(""https://docs.google.com/spreadsheets/d/1Yj_ptqi66GCucihVvJfMjLAmec39IyEx_6qawtMGysU/edit?usp=sharing"",""สบก!V35"")"),400000)</f>
        <v>400000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IFERROR(__xludf.DUMMYFUNCTION("IMPORTRANGE(""https://docs.google.com/spreadsheets/d/1Yj_ptqi66GCucihVvJfMjLAmec39IyEx_6qawtMGysU/edit?usp=sharing"",""สบก!W35"")"),0)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IFERROR(__xludf.DUMMYFUNCTION("IMPORTRANGE(""https://docs.google.com/spreadsheets/d/1Yj_ptqi66GCucihVvJfMjLAmec39IyEx_6qawtMGysU/edit?usp=sharing"",""สบก!X35"")"),0)</f>
        <v>0</v>
      </c>
      <c r="M61" s="50"/>
      <c r="N61" s="50">
        <f ca="1">IFERROR(__xludf.DUMMYFUNCTION("IMPORTRANGE(""https://docs.google.com/spreadsheets/d/1Yj_ptqi66GCucihVvJfMjLAmec39IyEx_6qawtMGysU/edit?usp=sharing"",""สบก!AB35"")"),0)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IFERROR(__xludf.DUMMYFUNCTION("IMPORTRANGE(""https://docs.google.com/spreadsheets/d/11923uPwbBZFjjGgGUA6NLw09EwE0CqkOc4q9oUmW1yo/edit?usp=sharing"",""อุตรดิตถ์!I9"")"),0)</f>
        <v>0</v>
      </c>
      <c r="J64" s="142">
        <f ca="1">IFERROR(__xludf.DUMMYFUNCTION("IMPORTRANGE(""https://docs.google.com/spreadsheets/d/11923uPwbBZFjjGgGUA6NLw09EwE0CqkOc4q9oUmW1yo/edit?usp=sharing"",""อุตรดิตถ์!J9"")"),0)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IFERROR(__xludf.DUMMYFUNCTION("IMPORTRANGE(""https://docs.google.com/spreadsheets/d/11923uPwbBZFjjGgGUA6NLw09EwE0CqkOc4q9oUmW1yo/edit?usp=sharing"",""อุตรดิตถ์!I10"")"),0)</f>
        <v>0</v>
      </c>
      <c r="J65" s="142">
        <f ca="1">IFERROR(__xludf.DUMMYFUNCTION("IMPORTRANGE(""https://docs.google.com/spreadsheets/d/11923uPwbBZFjjGgGUA6NLw09EwE0CqkOc4q9oUmW1yo/edit?usp=sharing"",""อุตรดิตถ์!J10"")"),0)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IFERROR(__xludf.DUMMYFUNCTION("IMPORTRANGE(""https://docs.google.com/spreadsheets/d/1Yj_ptqi66GCucihVvJfMjLAmec39IyEx_6qawtMGysU/edit?usp=sharing"",""สบก!AI35"")"),0)</f>
        <v>0</v>
      </c>
      <c r="N70" s="168">
        <f ca="1">IFERROR(__xludf.DUMMYFUNCTION("IMPORTRANGE(""https://docs.google.com/spreadsheets/d/1Yj_ptqi66GCucihVvJfMjLAmec39IyEx_6qawtMGysU/edit?usp=sharing"",""สบก!AJ35"")"),0)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IFERROR(__xludf.DUMMYFUNCTION("IMPORTRANGE(""https://docs.google.com/spreadsheets/d/1Yj_ptqi66GCucihVvJfMjLAmec39IyEx_6qawtMGysU/edit?usp=sharing"",""สบก!AE35"")"),0)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IFERROR(__xludf.DUMMYFUNCTION("IMPORTRANGE(""https://docs.google.com/spreadsheets/d/1Yj_ptqi66GCucihVvJfMjLAmec39IyEx_6qawtMGysU/edit?usp=sharing"",""สบก!AF35"")"),0)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IFERROR(__xludf.DUMMYFUNCTION("IMPORTRANGE(""https://docs.google.com/spreadsheets/d/1Yj_ptqi66GCucihVvJfMjLAmec39IyEx_6qawtMGysU/edit?usp=sharing"",""สบก!AG35"")"),0)</f>
        <v>0</v>
      </c>
      <c r="M74" s="50"/>
      <c r="N74" s="50">
        <f ca="1">IFERROR(__xludf.DUMMYFUNCTION("IMPORTRANGE(""https://docs.google.com/spreadsheets/d/1Yj_ptqi66GCucihVvJfMjLAmec39IyEx_6qawtMGysU/edit?usp=sharing"",""สบก!AK35"")"),0)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IFERROR(__xludf.DUMMYFUNCTION("IMPORTRANGE(""https://docs.google.com/spreadsheets/d/11923uPwbBZFjjGgGUA6NLw09EwE0CqkOc4q9oUmW1yo/edit?usp=sharing"",""อุตรดิตถ์!J16"")"),0)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IFERROR(__xludf.DUMMYFUNCTION("IMPORTRANGE(""https://docs.google.com/spreadsheets/d/11923uPwbBZFjjGgGUA6NLw09EwE0CqkOc4q9oUmW1yo/edit?usp=sharing"",""อุตรดิตถ์!J17"")"),0)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IFERROR(__xludf.DUMMYFUNCTION("IMPORTRANGE(""https://docs.google.com/spreadsheets/d/11923uPwbBZFjjGgGUA6NLw09EwE0CqkOc4q9oUmW1yo/edit?usp=sharing"",""อุตรดิตถ์!J18"")"),0)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IFERROR(__xludf.DUMMYFUNCTION("IMPORTRANGE(""https://docs.google.com/spreadsheets/d/11923uPwbBZFjjGgGUA6NLw09EwE0CqkOc4q9oUmW1yo/edit?usp=sharing"",""อุตรดิตถ์!J19"")"),0)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IFERROR(__xludf.DUMMYFUNCTION("IMPORTRANGE(""https://docs.google.com/spreadsheets/d/11923uPwbBZFjjGgGUA6NLw09EwE0CqkOc4q9oUmW1yo/edit?usp=sharing"",""อุตรดิตถ์!I20"")"),0)</f>
        <v>0</v>
      </c>
      <c r="J80" s="200">
        <f ca="1">IFERROR(__xludf.DUMMYFUNCTION("IMPORTRANGE(""https://docs.google.com/spreadsheets/d/11923uPwbBZFjjGgGUA6NLw09EwE0CqkOc4q9oUmW1yo/edit?usp=sharing"",""อุตรดิตถ์!J20"")"),0)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IFERROR(__xludf.DUMMYFUNCTION("IMPORTRANGE(""https://docs.google.com/spreadsheets/d/11923uPwbBZFjjGgGUA6NLw09EwE0CqkOc4q9oUmW1yo/edit?usp=sharing"",""อุตรดิตถ์!I21"")"),0)</f>
        <v>0</v>
      </c>
      <c r="J81" s="200">
        <f ca="1">IFERROR(__xludf.DUMMYFUNCTION("IMPORTRANGE(""https://docs.google.com/spreadsheets/d/11923uPwbBZFjjGgGUA6NLw09EwE0CqkOc4q9oUmW1yo/edit?usp=sharing"",""อุตรดิตถ์!J21"")"),0)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IFERROR(__xludf.DUMMYFUNCTION("IMPORTRANGE(""https://docs.google.com/spreadsheets/d/11923uPwbBZFjjGgGUA6NLw09EwE0CqkOc4q9oUmW1yo/edit?usp=sharing"",""อุตรดิตถ์!I22"")"),0)</f>
        <v>0</v>
      </c>
      <c r="J82" s="203">
        <f ca="1">IFERROR(__xludf.DUMMYFUNCTION("IMPORTRANGE(""https://docs.google.com/spreadsheets/d/11923uPwbBZFjjGgGUA6NLw09EwE0CqkOc4q9oUmW1yo/edit?usp=sharing"",""อุตรดิตถ์!J22"")"),0)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IFERROR(__xludf.DUMMYFUNCTION("IMPORTRANGE(""https://docs.google.com/spreadsheets/d/11923uPwbBZFjjGgGUA6NLw09EwE0CqkOc4q9oUmW1yo/edit?usp=sharing"",""อุตรดิตถ์!I23"")"),0)</f>
        <v>0</v>
      </c>
      <c r="J83" s="203">
        <f ca="1">IFERROR(__xludf.DUMMYFUNCTION("IMPORTRANGE(""https://docs.google.com/spreadsheets/d/11923uPwbBZFjjGgGUA6NLw09EwE0CqkOc4q9oUmW1yo/edit?usp=sharing"",""อุตรดิตถ์!J23"")"),0)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IFERROR(__xludf.DUMMYFUNCTION("IMPORTRANGE(""https://docs.google.com/spreadsheets/d/11923uPwbBZFjjGgGUA6NLw09EwE0CqkOc4q9oUmW1yo/edit?usp=sharing"",""อุตรดิตถ์!I24"")"),0)</f>
        <v>0</v>
      </c>
      <c r="J84" s="188">
        <f ca="1">IFERROR(__xludf.DUMMYFUNCTION("IMPORTRANGE(""https://docs.google.com/spreadsheets/d/11923uPwbBZFjjGgGUA6NLw09EwE0CqkOc4q9oUmW1yo/edit?usp=sharing"",""อุตรดิตถ์!J24"")"),0)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IFERROR(__xludf.DUMMYFUNCTION("IMPORTRANGE(""https://docs.google.com/spreadsheets/d/11923uPwbBZFjjGgGUA6NLw09EwE0CqkOc4q9oUmW1yo/edit?usp=sharing"",""อุตรดิตถ์!I25"")"),0)</f>
        <v>0</v>
      </c>
      <c r="J85" s="188">
        <f ca="1">IFERROR(__xludf.DUMMYFUNCTION("IMPORTRANGE(""https://docs.google.com/spreadsheets/d/11923uPwbBZFjjGgGUA6NLw09EwE0CqkOc4q9oUmW1yo/edit?usp=sharing"",""อุตรดิตถ์!J25"")"),0)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IFERROR(__xludf.DUMMYFUNCTION("IMPORTRANGE(""https://docs.google.com/spreadsheets/d/11923uPwbBZFjjGgGUA6NLw09EwE0CqkOc4q9oUmW1yo/edit?usp=sharing"",""อุตรดิตถ์!I26"")"),0)</f>
        <v>0</v>
      </c>
      <c r="J86" s="203">
        <f ca="1">IFERROR(__xludf.DUMMYFUNCTION("IMPORTRANGE(""https://docs.google.com/spreadsheets/d/11923uPwbBZFjjGgGUA6NLw09EwE0CqkOc4q9oUmW1yo/edit?usp=sharing"",""อุตรดิตถ์!J26"")"),0)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IFERROR(__xludf.DUMMYFUNCTION("IMPORTRANGE(""https://docs.google.com/spreadsheets/d/11923uPwbBZFjjGgGUA6NLw09EwE0CqkOc4q9oUmW1yo/edit?usp=sharing"",""อุตรดิตถ์!I27"")"),0)</f>
        <v>0</v>
      </c>
      <c r="J87" s="203">
        <f ca="1">IFERROR(__xludf.DUMMYFUNCTION("IMPORTRANGE(""https://docs.google.com/spreadsheets/d/11923uPwbBZFjjGgGUA6NLw09EwE0CqkOc4q9oUmW1yo/edit?usp=sharing"",""อุตรดิตถ์!J27"")"),0)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IFERROR(__xludf.DUMMYFUNCTION("IMPORTRANGE(""https://docs.google.com/spreadsheets/d/11923uPwbBZFjjGgGUA6NLw09EwE0CqkOc4q9oUmW1yo/edit?usp=sharing"",""อุตรดิตถ์!I28"")"),0)</f>
        <v>0</v>
      </c>
      <c r="J88" s="203">
        <f ca="1">IFERROR(__xludf.DUMMYFUNCTION("IMPORTRANGE(""https://docs.google.com/spreadsheets/d/11923uPwbBZFjjGgGUA6NLw09EwE0CqkOc4q9oUmW1yo/edit?usp=sharing"",""อุตรดิตถ์!J28"")"),0)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IFERROR(__xludf.DUMMYFUNCTION("IMPORTRANGE(""https://docs.google.com/spreadsheets/d/11923uPwbBZFjjGgGUA6NLw09EwE0CqkOc4q9oUmW1yo/edit?usp=sharing"",""อุตรดิตถ์!J29"")"),0)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IFERROR(__xludf.DUMMYFUNCTION("IMPORTRANGE(""https://docs.google.com/spreadsheets/d/11923uPwbBZFjjGgGUA6NLw09EwE0CqkOc4q9oUmW1yo/edit?usp=sharing"",""อุตรดิตถ์!J30"")"),0)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IFERROR(__xludf.DUMMYFUNCTION("IMPORTRANGE(""https://docs.google.com/spreadsheets/d/11923uPwbBZFjjGgGUA6NLw09EwE0CqkOc4q9oUmW1yo/edit?usp=sharing"",""อุตรดิตถ์!I32"")"),4)</f>
        <v>4</v>
      </c>
      <c r="J92" s="142">
        <f ca="1">IFERROR(__xludf.DUMMYFUNCTION("IMPORTRANGE(""https://docs.google.com/spreadsheets/d/11923uPwbBZFjjGgGUA6NLw09EwE0CqkOc4q9oUmW1yo/edit?usp=sharing"",""อุตรดิตถ์!J32"")"),4)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IFERROR(__xludf.DUMMYFUNCTION("IMPORTRANGE(""https://docs.google.com/spreadsheets/d/11923uPwbBZFjjGgGUA6NLw09EwE0CqkOc4q9oUmW1yo/edit?usp=sharing"",""อุตรดิตถ์!I33"")"),1)</f>
        <v>1</v>
      </c>
      <c r="J93" s="142">
        <f ca="1">IFERROR(__xludf.DUMMYFUNCTION("IMPORTRANGE(""https://docs.google.com/spreadsheets/d/11923uPwbBZFjjGgGUA6NLw09EwE0CqkOc4q9oUmW1yo/edit?usp=sharing"",""อุตรดิตถ์!J33"")"),1)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176912.5</v>
      </c>
      <c r="O94" s="151">
        <f t="shared" ref="O94:O96" ca="1" si="53">IF(L94&gt;0,N94*100/L94,0)</f>
        <v>82.476689976689983</v>
      </c>
      <c r="P94" s="151">
        <f t="shared" ref="P94:P96" ca="1" si="54">IF(M94&gt;0,N94*100/M94,0)</f>
        <v>90.978632588516618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194455</v>
      </c>
      <c r="N96" s="88">
        <f t="shared" ca="1" si="56"/>
        <v>176912.5</v>
      </c>
      <c r="O96" s="156">
        <f t="shared" ca="1" si="53"/>
        <v>82.476689976689983</v>
      </c>
      <c r="P96" s="156">
        <f t="shared" ca="1" si="54"/>
        <v>90.978632588516618</v>
      </c>
    </row>
    <row r="97" spans="1:16" ht="21.75" customHeight="1" x14ac:dyDescent="0.45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IFERROR(__xludf.DUMMYFUNCTION("IMPORTRANGE(""https://docs.google.com/spreadsheets/d/1Yj_ptqi66GCucihVvJfMjLAmec39IyEx_6qawtMGysU/edit?usp=sharing"",""สบก!AR35"")"),102055)</f>
        <v>102055</v>
      </c>
      <c r="N98" s="168">
        <f ca="1">IFERROR(__xludf.DUMMYFUNCTION("IMPORTRANGE(""https://docs.google.com/spreadsheets/d/1Yj_ptqi66GCucihVvJfMjLAmec39IyEx_6qawtMGysU/edit?usp=sharing"",""สบก!AS35"")"),84512.5)</f>
        <v>84512.5</v>
      </c>
      <c r="O98" s="168">
        <f ca="1">IF(L98&gt;0,N98*100/L98,0)</f>
        <v>69.215806715806721</v>
      </c>
      <c r="P98" s="168">
        <f ca="1">IF(M98&gt;0,N98*100/M98,0)</f>
        <v>82.81073930723629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IFERROR(__xludf.DUMMYFUNCTION("IMPORTRANGE(""https://docs.google.com/spreadsheets/d/1Yj_ptqi66GCucihVvJfMjLAmec39IyEx_6qawtMGysU/edit?usp=sharing"",""สบก!AN35"")"),0)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IFERROR(__xludf.DUMMYFUNCTION("IMPORTRANGE(""https://docs.google.com/spreadsheets/d/1Yj_ptqi66GCucihVvJfMjLAmec39IyEx_6qawtMGysU/edit?usp=sharing"",""สบก!AO35"")"),122100)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IFERROR(__xludf.DUMMYFUNCTION("IMPORTRANGE(""https://docs.google.com/spreadsheets/d/1Yj_ptqi66GCucihVvJfMjLAmec39IyEx_6qawtMGysU/edit?usp=sharing"",""สบก!AP35"")"),92400)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IFERROR(__xludf.DUMMYFUNCTION("IMPORTRANGE(""https://docs.google.com/spreadsheets/d/1Yj_ptqi66GCucihVvJfMjLAmec39IyEx_6qawtMGysU/edit?usp=sharing"",""สบก!AT35"")"),92400)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IFERROR(__xludf.DUMMYFUNCTION("IMPORTRANGE(""https://docs.google.com/spreadsheets/d/11923uPwbBZFjjGgGUA6NLw09EwE0CqkOc4q9oUmW1yo/edit?usp=sharing"",""อุตรดิตถ์!J39"")"),0)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IFERROR(__xludf.DUMMYFUNCTION("IMPORTRANGE(""https://docs.google.com/spreadsheets/d/11923uPwbBZFjjGgGUA6NLw09EwE0CqkOc4q9oUmW1yo/edit?usp=sharing"",""อุตรดิตถ์!J40"")"),1)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IFERROR(__xludf.DUMMYFUNCTION("IMPORTRANGE(""https://docs.google.com/spreadsheets/d/11923uPwbBZFjjGgGUA6NLw09EwE0CqkOc4q9oUmW1yo/edit?usp=sharing"",""อุตรดิตถ์!J41"")"),1)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IFERROR(__xludf.DUMMYFUNCTION("IMPORTRANGE(""https://docs.google.com/spreadsheets/d/11923uPwbBZFjjGgGUA6NLw09EwE0CqkOc4q9oUmW1yo/edit?usp=sharing"",""อุตรดิตถ์!J42"")"),1)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IFERROR(__xludf.DUMMYFUNCTION("IMPORTRANGE(""https://docs.google.com/spreadsheets/d/11923uPwbBZFjjGgGUA6NLw09EwE0CqkOc4q9oUmW1yo/edit?usp=sharing"",""อุตรดิตถ์!I43"")"),1)</f>
        <v>1</v>
      </c>
      <c r="J108" s="203">
        <f ca="1">IFERROR(__xludf.DUMMYFUNCTION("IMPORTRANGE(""https://docs.google.com/spreadsheets/d/11923uPwbBZFjjGgGUA6NLw09EwE0CqkOc4q9oUmW1yo/edit?usp=sharing"",""อุตรดิตถ์!J43"")"),1)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IFERROR(__xludf.DUMMYFUNCTION("IMPORTRANGE(""https://docs.google.com/spreadsheets/d/11923uPwbBZFjjGgGUA6NLw09EwE0CqkOc4q9oUmW1yo/edit?usp=sharing"",""อุตรดิตถ์!I44"")"),4)</f>
        <v>4</v>
      </c>
      <c r="J109" s="203">
        <f ca="1">IFERROR(__xludf.DUMMYFUNCTION("IMPORTRANGE(""https://docs.google.com/spreadsheets/d/11923uPwbBZFjjGgGUA6NLw09EwE0CqkOc4q9oUmW1yo/edit?usp=sharing"",""อุตรดิตถ์!J44"")"),4)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IFERROR(__xludf.DUMMYFUNCTION("IMPORTRANGE(""https://docs.google.com/spreadsheets/d/11923uPwbBZFjjGgGUA6NLw09EwE0CqkOc4q9oUmW1yo/edit?usp=sharing"",""อุตรดิตถ์!I45"")"),4)</f>
        <v>4</v>
      </c>
      <c r="J110" s="203">
        <f ca="1">IFERROR(__xludf.DUMMYFUNCTION("IMPORTRANGE(""https://docs.google.com/spreadsheets/d/11923uPwbBZFjjGgGUA6NLw09EwE0CqkOc4q9oUmW1yo/edit?usp=sharing"",""อุตรดิตถ์!J45"")"),4)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IFERROR(__xludf.DUMMYFUNCTION("IMPORTRANGE(""https://docs.google.com/spreadsheets/d/11923uPwbBZFjjGgGUA6NLw09EwE0CqkOc4q9oUmW1yo/edit?usp=sharing"",""อุตรดิตถ์!I46"")"),4)</f>
        <v>4</v>
      </c>
      <c r="J111" s="203">
        <f ca="1">IFERROR(__xludf.DUMMYFUNCTION("IMPORTRANGE(""https://docs.google.com/spreadsheets/d/11923uPwbBZFjjGgGUA6NLw09EwE0CqkOc4q9oUmW1yo/edit?usp=sharing"",""อุตรดิตถ์!J46"")"),4)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IFERROR(__xludf.DUMMYFUNCTION("IMPORTRANGE(""https://docs.google.com/spreadsheets/d/11923uPwbBZFjjGgGUA6NLw09EwE0CqkOc4q9oUmW1yo/edit?usp=sharing"",""อุตรดิตถ์!I47"")"),4)</f>
        <v>4</v>
      </c>
      <c r="J112" s="203">
        <f ca="1">IFERROR(__xludf.DUMMYFUNCTION("IMPORTRANGE(""https://docs.google.com/spreadsheets/d/11923uPwbBZFjjGgGUA6NLw09EwE0CqkOc4q9oUmW1yo/edit?usp=sharing"",""อุตรดิตถ์!J47"")"),4)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IFERROR(__xludf.DUMMYFUNCTION("IMPORTRANGE(""https://docs.google.com/spreadsheets/d/11923uPwbBZFjjGgGUA6NLw09EwE0CqkOc4q9oUmW1yo/edit?usp=sharing"",""อุตรดิตถ์!I48"")"),1)</f>
        <v>1</v>
      </c>
      <c r="J113" s="203">
        <f ca="1">IFERROR(__xludf.DUMMYFUNCTION("IMPORTRANGE(""https://docs.google.com/spreadsheets/d/11923uPwbBZFjjGgGUA6NLw09EwE0CqkOc4q9oUmW1yo/edit?usp=sharing"",""อุตรดิตถ์!J48"")"),1)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IFERROR(__xludf.DUMMYFUNCTION("IMPORTRANGE(""https://docs.google.com/spreadsheets/d/11923uPwbBZFjjGgGUA6NLw09EwE0CqkOc4q9oUmW1yo/edit?usp=sharing"",""อุตรดิตถ์!J49"")"),0)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IFERROR(__xludf.DUMMYFUNCTION("IMPORTRANGE(""https://docs.google.com/spreadsheets/d/11923uPwbBZFjjGgGUA6NLw09EwE0CqkOc4q9oUmW1yo/edit?usp=sharing"",""อุตรดิตถ์!J50"")"),0)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IFERROR(__xludf.DUMMYFUNCTION("IMPORTRANGE(""https://docs.google.com/spreadsheets/d/11923uPwbBZFjjGgGUA6NLw09EwE0CqkOc4q9oUmW1yo/edit?usp=sharing"",""อุตรดิตถ์!I52"")"),20)</f>
        <v>20</v>
      </c>
      <c r="J117" s="142">
        <f ca="1">IFERROR(__xludf.DUMMYFUNCTION("IMPORTRANGE(""https://docs.google.com/spreadsheets/d/11923uPwbBZFjjGgGUA6NLw09EwE0CqkOc4q9oUmW1yo/edit?usp=sharing"",""อุตรดิตถ์!J52"")"),20)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63044.6</v>
      </c>
      <c r="O118" s="151">
        <f t="shared" ref="O118:O120" ca="1" si="59">IF(L118&gt;0,N118*100/L118,0)</f>
        <v>76.473313925278987</v>
      </c>
      <c r="P118" s="151">
        <f t="shared" ref="P118:P120" ca="1" si="60">IF(M118&gt;0,N118*100/M118,0)</f>
        <v>76.473313925278987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63044.6</v>
      </c>
      <c r="O120" s="156">
        <f t="shared" ca="1" si="59"/>
        <v>76.473313925278987</v>
      </c>
      <c r="P120" s="156">
        <f t="shared" ca="1" si="60"/>
        <v>76.473313925278987</v>
      </c>
    </row>
    <row r="121" spans="1:16" ht="21.75" customHeight="1" x14ac:dyDescent="0.45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IFERROR(__xludf.DUMMYFUNCTION("IMPORTRANGE(""https://docs.google.com/spreadsheets/d/1Yj_ptqi66GCucihVvJfMjLAmec39IyEx_6qawtMGysU/edit?usp=sharing"",""สบก!BA35"")"),82440)</f>
        <v>82440</v>
      </c>
      <c r="N122" s="168">
        <f ca="1">IFERROR(__xludf.DUMMYFUNCTION("IMPORTRANGE(""https://docs.google.com/spreadsheets/d/1Yj_ptqi66GCucihVvJfMjLAmec39IyEx_6qawtMGysU/edit?usp=sharing"",""สบก!BB35"")"),63044.6)</f>
        <v>63044.6</v>
      </c>
      <c r="O122" s="168">
        <f ca="1">IF(L122&gt;0,N122*100/L122,0)</f>
        <v>76.473313925278987</v>
      </c>
      <c r="P122" s="168">
        <f ca="1">IF(M122&gt;0,N122*100/M122,0)</f>
        <v>76.473313925278987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IFERROR(__xludf.DUMMYFUNCTION("IMPORTRANGE(""https://docs.google.com/spreadsheets/d/1Yj_ptqi66GCucihVvJfMjLAmec39IyEx_6qawtMGysU/edit?usp=sharing"",""สบก!AW35"")"),0)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IFERROR(__xludf.DUMMYFUNCTION("IMPORTRANGE(""https://docs.google.com/spreadsheets/d/1Yj_ptqi66GCucihVvJfMjLAmec39IyEx_6qawtMGysU/edit?usp=sharing"",""สบก!AX35"")"),82440)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IFERROR(__xludf.DUMMYFUNCTION("IMPORTRANGE(""https://docs.google.com/spreadsheets/d/1Yj_ptqi66GCucihVvJfMjLAmec39IyEx_6qawtMGysU/edit?usp=sharing"",""สบก!AY35"")"),0)</f>
        <v>0</v>
      </c>
      <c r="M126" s="50"/>
      <c r="N126" s="50">
        <f ca="1">IFERROR(__xludf.DUMMYFUNCTION("IMPORTRANGE(""https://docs.google.com/spreadsheets/d/1Yj_ptqi66GCucihVvJfMjLAmec39IyEx_6qawtMGysU/edit?usp=sharing"",""สบก!BC35"")"),0)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291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IFERROR(__xludf.DUMMYFUNCTION("IMPORTRANGE(""https://docs.google.com/spreadsheets/d/11923uPwbBZFjjGgGUA6NLw09EwE0CqkOc4q9oUmW1yo/edit?usp=sharing"",""อุตรดิตถ์!J58"")"),0)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IFERROR(__xludf.DUMMYFUNCTION("IMPORTRANGE(""https://docs.google.com/spreadsheets/d/11923uPwbBZFjjGgGUA6NLw09EwE0CqkOc4q9oUmW1yo/edit?usp=sharing"",""อุตรดิตถ์!J59"")"),1)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IFERROR(__xludf.DUMMYFUNCTION("IMPORTRANGE(""https://docs.google.com/spreadsheets/d/11923uPwbBZFjjGgGUA6NLw09EwE0CqkOc4q9oUmW1yo/edit?usp=sharing"",""อุตรดิตถ์!J60"")"),1)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IFERROR(__xludf.DUMMYFUNCTION("IMPORTRANGE(""https://docs.google.com/spreadsheets/d/11923uPwbBZFjjGgGUA6NLw09EwE0CqkOc4q9oUmW1yo/edit?usp=sharing"",""อุตรดิตถ์!J61"")"),1)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IFERROR(__xludf.DUMMYFUNCTION("IMPORTRANGE(""https://docs.google.com/spreadsheets/d/11923uPwbBZFjjGgGUA6NLw09EwE0CqkOc4q9oUmW1yo/edit?usp=sharing"",""อุตรดิตถ์!I62"")"),20)</f>
        <v>20</v>
      </c>
      <c r="J132" s="203">
        <f ca="1">IFERROR(__xludf.DUMMYFUNCTION("IMPORTRANGE(""https://docs.google.com/spreadsheets/d/11923uPwbBZFjjGgGUA6NLw09EwE0CqkOc4q9oUmW1yo/edit?usp=sharing"",""อุตรดิตถ์!J62"")"),20)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IFERROR(__xludf.DUMMYFUNCTION("IMPORTRANGE(""https://docs.google.com/spreadsheets/d/11923uPwbBZFjjGgGUA6NLw09EwE0CqkOc4q9oUmW1yo/edit?usp=sharing"",""อุตรดิตถ์!I63"")"),20)</f>
        <v>20</v>
      </c>
      <c r="J133" s="203">
        <f ca="1">IFERROR(__xludf.DUMMYFUNCTION("IMPORTRANGE(""https://docs.google.com/spreadsheets/d/11923uPwbBZFjjGgGUA6NLw09EwE0CqkOc4q9oUmW1yo/edit?usp=sharing"",""อุตรดิตถ์!J63"")"),20)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IFERROR(__xludf.DUMMYFUNCTION("IMPORTRANGE(""https://docs.google.com/spreadsheets/d/11923uPwbBZFjjGgGUA6NLw09EwE0CqkOc4q9oUmW1yo/edit?usp=sharing"",""อุตรดิตถ์!J64"")"),0)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IFERROR(__xludf.DUMMYFUNCTION("IMPORTRANGE(""https://docs.google.com/spreadsheets/d/11923uPwbBZFjjGgGUA6NLw09EwE0CqkOc4q9oUmW1yo/edit?usp=sharing"",""อุตรดิตถ์!J65"")"),0)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IFERROR(__xludf.DUMMYFUNCTION("IMPORTRANGE(""https://docs.google.com/spreadsheets/d/11923uPwbBZFjjGgGUA6NLw09EwE0CqkOc4q9oUmW1yo/edit?usp=sharing"",""อุตรดิตถ์!I68"")"),0)</f>
        <v>0</v>
      </c>
      <c r="J138" s="267">
        <f ca="1">IFERROR(__xludf.DUMMYFUNCTION("IMPORTRANGE(""https://docs.google.com/spreadsheets/d/11923uPwbBZFjjGgGUA6NLw09EwE0CqkOc4q9oUmW1yo/edit?usp=sharing"",""อุตรดิตถ์!J68"")"),0)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79000</v>
      </c>
      <c r="M140" s="152">
        <f t="shared" ca="1" si="64"/>
        <v>116725</v>
      </c>
      <c r="N140" s="152">
        <f t="shared" ca="1" si="64"/>
        <v>64670.1</v>
      </c>
      <c r="O140" s="151">
        <f t="shared" ref="O140:O142" ca="1" si="65">IF(L140&gt;0,N140*100/L140,0)</f>
        <v>81.860886075949367</v>
      </c>
      <c r="P140" s="151">
        <f t="shared" ref="P140:P142" ca="1" si="66">IF(M140&gt;0,N140*100/M140,0)</f>
        <v>55.403812379524524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79000</v>
      </c>
      <c r="M142" s="88">
        <f t="shared" ca="1" si="68"/>
        <v>116725</v>
      </c>
      <c r="N142" s="88">
        <f t="shared" ca="1" si="68"/>
        <v>64670.1</v>
      </c>
      <c r="O142" s="156">
        <f t="shared" ca="1" si="65"/>
        <v>81.860886075949367</v>
      </c>
      <c r="P142" s="156">
        <f t="shared" ca="1" si="66"/>
        <v>55.403812379524524</v>
      </c>
    </row>
    <row r="143" spans="1:16" ht="21.75" customHeight="1" x14ac:dyDescent="0.45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79000</v>
      </c>
      <c r="M144" s="167">
        <f ca="1">IFERROR(__xludf.DUMMYFUNCTION("IMPORTRANGE(""https://docs.google.com/spreadsheets/d/1Yj_ptqi66GCucihVvJfMjLAmec39IyEx_6qawtMGysU/edit?usp=sharing"",""สบก!BJ35"")"),116725)</f>
        <v>116725</v>
      </c>
      <c r="N144" s="168">
        <f ca="1">IFERROR(__xludf.DUMMYFUNCTION("IMPORTRANGE(""https://docs.google.com/spreadsheets/d/1Yj_ptqi66GCucihVvJfMjLAmec39IyEx_6qawtMGysU/edit?usp=sharing"",""สบก!BK35"")"),64670.1)</f>
        <v>64670.1</v>
      </c>
      <c r="O144" s="168">
        <f ca="1">IF(L144&gt;0,N144*100/L144,0)</f>
        <v>81.860886075949367</v>
      </c>
      <c r="P144" s="168">
        <f ca="1">IF(M144&gt;0,N144*100/M144,0)</f>
        <v>55.403812379524524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IFERROR(__xludf.DUMMYFUNCTION("IMPORTRANGE(""https://docs.google.com/spreadsheets/d/1Yj_ptqi66GCucihVvJfMjLAmec39IyEx_6qawtMGysU/edit?usp=sharing"",""สบก!BF35"")"),0)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IFERROR(__xludf.DUMMYFUNCTION("IMPORTRANGE(""https://docs.google.com/spreadsheets/d/1Yj_ptqi66GCucihVvJfMjLAmec39IyEx_6qawtMGysU/edit?usp=sharing"",""สบก!BG35"")"),79000)</f>
        <v>79000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IFERROR(__xludf.DUMMYFUNCTION("IMPORTRANGE(""https://docs.google.com/spreadsheets/d/1Yj_ptqi66GCucihVvJfMjLAmec39IyEx_6qawtMGysU/edit?usp=sharing"",""สบก!BH35"")"),0)</f>
        <v>0</v>
      </c>
      <c r="M148" s="50"/>
      <c r="N148" s="50">
        <f ca="1">IFERROR(__xludf.DUMMYFUNCTION("IMPORTRANGE(""https://docs.google.com/spreadsheets/d/1Yj_ptqi66GCucihVvJfMjLAmec39IyEx_6qawtMGysU/edit?usp=sharing"",""สบก!BL35"")"),0)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IFERROR(__xludf.DUMMYFUNCTION("IMPORTRANGE(""https://docs.google.com/spreadsheets/d/11923uPwbBZFjjGgGUA6NLw09EwE0CqkOc4q9oUmW1yo/edit?usp=sharing"",""อุตรดิตถ์!I74"")"),4)</f>
        <v>4</v>
      </c>
      <c r="J149" s="275">
        <f ca="1">IFERROR(__xludf.DUMMYFUNCTION("IMPORTRANGE(""https://docs.google.com/spreadsheets/d/11923uPwbBZFjjGgGUA6NLw09EwE0CqkOc4q9oUmW1yo/edit?usp=sharing"",""อุตรดิตถ์!J74"")"),3)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IFERROR(__xludf.DUMMYFUNCTION("IMPORTRANGE(""https://docs.google.com/spreadsheets/d/11923uPwbBZFjjGgGUA6NLw09EwE0CqkOc4q9oUmW1yo/edit?usp=sharing"",""อุตรดิตถ์!J79"")"),0)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IFERROR(__xludf.DUMMYFUNCTION("IMPORTRANGE(""https://docs.google.com/spreadsheets/d/11923uPwbBZFjjGgGUA6NLw09EwE0CqkOc4q9oUmW1yo/edit?usp=sharing"",""อุตรดิตถ์!J80"")"),1)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IFERROR(__xludf.DUMMYFUNCTION("IMPORTRANGE(""https://docs.google.com/spreadsheets/d/11923uPwbBZFjjGgGUA6NLw09EwE0CqkOc4q9oUmW1yo/edit?usp=sharing"",""อุตรดิตถ์!J81"")"),1)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IFERROR(__xludf.DUMMYFUNCTION("IMPORTRANGE(""https://docs.google.com/spreadsheets/d/11923uPwbBZFjjGgGUA6NLw09EwE0CqkOc4q9oUmW1yo/edit?usp=sharing"",""อุตรดิตถ์!J82"")"),1)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IFERROR(__xludf.DUMMYFUNCTION("IMPORTRANGE(""https://docs.google.com/spreadsheets/d/11923uPwbBZFjjGgGUA6NLw09EwE0CqkOc4q9oUmW1yo/edit?usp=sharing"",""อุตรดิตถ์!I83"")"),4)</f>
        <v>4</v>
      </c>
      <c r="J158" s="188">
        <f ca="1">IFERROR(__xludf.DUMMYFUNCTION("IMPORTRANGE(""https://docs.google.com/spreadsheets/d/11923uPwbBZFjjGgGUA6NLw09EwE0CqkOc4q9oUmW1yo/edit?usp=sharing"",""อุตรดิตถ์!J83"")"),3)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IFERROR(__xludf.DUMMYFUNCTION("IMPORTRANGE(""https://docs.google.com/spreadsheets/d/11923uPwbBZFjjGgGUA6NLw09EwE0CqkOc4q9oUmW1yo/edit?usp=sharing"",""อุตรดิตถ์!J84"")"),115)</f>
        <v>115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IFERROR(__xludf.DUMMYFUNCTION("IMPORTRANGE(""https://docs.google.com/spreadsheets/d/11923uPwbBZFjjGgGUA6NLw09EwE0CqkOc4q9oUmW1yo/edit?usp=sharing"",""อุตรดิตถ์!J85"")"),115)</f>
        <v>115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IFERROR(__xludf.DUMMYFUNCTION("IMPORTRANGE(""https://docs.google.com/spreadsheets/d/11923uPwbBZFjjGgGUA6NLw09EwE0CqkOc4q9oUmW1yo/edit?usp=sharing"",""อุตรดิตถ์!J86"")"),0)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IFERROR(__xludf.DUMMYFUNCTION("IMPORTRANGE(""https://docs.google.com/spreadsheets/d/11923uPwbBZFjjGgGUA6NLw09EwE0CqkOc4q9oUmW1yo/edit?usp=sharing"",""อุตรดิตถ์!J87"")"),0)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IFERROR(__xludf.DUMMYFUNCTION("IMPORTRANGE(""https://docs.google.com/spreadsheets/d/11923uPwbBZFjjGgGUA6NLw09EwE0CqkOc4q9oUmW1yo/edit?usp=sharing"",""อุตรดิตถ์!J88"")"),0)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IFERROR(__xludf.DUMMYFUNCTION("IMPORTRANGE(""https://docs.google.com/spreadsheets/d/11923uPwbBZFjjGgGUA6NLw09EwE0CqkOc4q9oUmW1yo/edit?usp=sharing"",""อุตรดิตถ์!I89"")"),3)</f>
        <v>3</v>
      </c>
      <c r="J164" s="284">
        <f ca="1">IFERROR(__xludf.DUMMYFUNCTION("IMPORTRANGE(""https://docs.google.com/spreadsheets/d/11923uPwbBZFjjGgGUA6NLw09EwE0CqkOc4q9oUmW1yo/edit?usp=sharing"",""อุตรดิตถ์!J89"")"),3)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IFERROR(__xludf.DUMMYFUNCTION("IMPORTRANGE(""https://docs.google.com/spreadsheets/d/11923uPwbBZFjjGgGUA6NLw09EwE0CqkOc4q9oUmW1yo/edit?usp=sharing"",""อุตรดิตถ์!J94"")"),0)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IFERROR(__xludf.DUMMYFUNCTION("IMPORTRANGE(""https://docs.google.com/spreadsheets/d/11923uPwbBZFjjGgGUA6NLw09EwE0CqkOc4q9oUmW1yo/edit?usp=sharing"",""อุตรดิตถ์!J95"")"),0)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IFERROR(__xludf.DUMMYFUNCTION("IMPORTRANGE(""https://docs.google.com/spreadsheets/d/11923uPwbBZFjjGgGUA6NLw09EwE0CqkOc4q9oUmW1yo/edit?usp=sharing"",""อุตรดิตถ์!J96"")"),0)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IFERROR(__xludf.DUMMYFUNCTION("IMPORTRANGE(""https://docs.google.com/spreadsheets/d/11923uPwbBZFjjGgGUA6NLw09EwE0CqkOc4q9oUmW1yo/edit?usp=sharing"",""อุตรดิตถ์!J97"")"),1)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IFERROR(__xludf.DUMMYFUNCTION("IMPORTRANGE(""https://docs.google.com/spreadsheets/d/11923uPwbBZFjjGgGUA6NLw09EwE0CqkOc4q9oUmW1yo/edit?usp=sharing"",""อุตรดิตถ์!I98"")"),3)</f>
        <v>3</v>
      </c>
      <c r="J173" s="188">
        <f ca="1">IFERROR(__xludf.DUMMYFUNCTION("IMPORTRANGE(""https://docs.google.com/spreadsheets/d/11923uPwbBZFjjGgGUA6NLw09EwE0CqkOc4q9oUmW1yo/edit?usp=sharing"",""อุตรดิตถ์!J98"")"),3)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IFERROR(__xludf.DUMMYFUNCTION("IMPORTRANGE(""https://docs.google.com/spreadsheets/d/11923uPwbBZFjjGgGUA6NLw09EwE0CqkOc4q9oUmW1yo/edit?usp=sharing"",""อุตรดิตถ์!J99"")"),0)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IFERROR(__xludf.DUMMYFUNCTION("IMPORTRANGE(""https://docs.google.com/spreadsheets/d/11923uPwbBZFjjGgGUA6NLw09EwE0CqkOc4q9oUmW1yo/edit?usp=sharing"",""อุตรดิตถ์!J100"")"),1)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IFERROR(__xludf.DUMMYFUNCTION("IMPORTRANGE(""https://docs.google.com/spreadsheets/d/11923uPwbBZFjjGgGUA6NLw09EwE0CqkOc4q9oUmW1yo/edit?usp=sharing"",""อุตรดิตถ์!I101"")"),1)</f>
        <v>1</v>
      </c>
      <c r="J176" s="284">
        <f ca="1">IFERROR(__xludf.DUMMYFUNCTION("IMPORTRANGE(""https://docs.google.com/spreadsheets/d/11923uPwbBZFjjGgGUA6NLw09EwE0CqkOc4q9oUmW1yo/edit?usp=sharing"",""อุตรดิตถ์!J101"")"),1)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IFERROR(__xludf.DUMMYFUNCTION("IMPORTRANGE(""https://docs.google.com/spreadsheets/d/11923uPwbBZFjjGgGUA6NLw09EwE0CqkOc4q9oUmW1yo/edit?usp=sharing"",""อุตรดิตถ์!J106"")"),0)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IFERROR(__xludf.DUMMYFUNCTION("IMPORTRANGE(""https://docs.google.com/spreadsheets/d/11923uPwbBZFjjGgGUA6NLw09EwE0CqkOc4q9oUmW1yo/edit?usp=sharing"",""อุตรดิตถ์!J107"")"),0)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IFERROR(__xludf.DUMMYFUNCTION("IMPORTRANGE(""https://docs.google.com/spreadsheets/d/11923uPwbBZFjjGgGUA6NLw09EwE0CqkOc4q9oUmW1yo/edit?usp=sharing"",""อุตรดิตถ์!J108"")"),0)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IFERROR(__xludf.DUMMYFUNCTION("IMPORTRANGE(""https://docs.google.com/spreadsheets/d/11923uPwbBZFjjGgGUA6NLw09EwE0CqkOc4q9oUmW1yo/edit?usp=sharing"",""อุตรดิตถ์!J109"")"),0)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IFERROR(__xludf.DUMMYFUNCTION("IMPORTRANGE(""https://docs.google.com/spreadsheets/d/11923uPwbBZFjjGgGUA6NLw09EwE0CqkOc4q9oUmW1yo/edit?usp=sharing"",""อุตรดิตถ์!I110"")"),1)</f>
        <v>1</v>
      </c>
      <c r="J185" s="203">
        <f ca="1">IFERROR(__xludf.DUMMYFUNCTION("IMPORTRANGE(""https://docs.google.com/spreadsheets/d/11923uPwbBZFjjGgGUA6NLw09EwE0CqkOc4q9oUmW1yo/edit?usp=sharing"",""อุตรดิตถ์!J110"")"),1)</f>
        <v>1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IFERROR(__xludf.DUMMYFUNCTION("IMPORTRANGE(""https://docs.google.com/spreadsheets/d/11923uPwbBZFjjGgGUA6NLw09EwE0CqkOc4q9oUmW1yo/edit?usp=sharing"",""อุตรดิตถ์!I111"")"),1)</f>
        <v>1</v>
      </c>
      <c r="J186" s="203">
        <f ca="1">IFERROR(__xludf.DUMMYFUNCTION("IMPORTRANGE(""https://docs.google.com/spreadsheets/d/11923uPwbBZFjjGgGUA6NLw09EwE0CqkOc4q9oUmW1yo/edit?usp=sharing"",""อุตรดิตถ์!J111"")"),1)</f>
        <v>1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IFERROR(__xludf.DUMMYFUNCTION("IMPORTRANGE(""https://docs.google.com/spreadsheets/d/11923uPwbBZFjjGgGUA6NLw09EwE0CqkOc4q9oUmW1yo/edit?usp=sharing"",""อุตรดิตถ์!J112"")"),0)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IFERROR(__xludf.DUMMYFUNCTION("IMPORTRANGE(""https://docs.google.com/spreadsheets/d/11923uPwbBZFjjGgGUA6NLw09EwE0CqkOc4q9oUmW1yo/edit?usp=sharing"",""อุตรดิตถ์!J113"")"),1)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IFERROR(__xludf.DUMMYFUNCTION("IMPORTRANGE(""https://docs.google.com/spreadsheets/d/11923uPwbBZFjjGgGUA6NLw09EwE0CqkOc4q9oUmW1yo/edit?usp=sharing"",""อุตรดิตถ์!I114"")"),30000)</f>
        <v>30000</v>
      </c>
      <c r="J189" s="284">
        <f ca="1">IFERROR(__xludf.DUMMYFUNCTION("IMPORTRANGE(""https://docs.google.com/spreadsheets/d/11923uPwbBZFjjGgGUA6NLw09EwE0CqkOc4q9oUmW1yo/edit?usp=sharing"",""อุตรดิตถ์!J114"")"),0)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IFERROR(__xludf.DUMMYFUNCTION("IMPORTRANGE(""https://docs.google.com/spreadsheets/d/11923uPwbBZFjjGgGUA6NLw09EwE0CqkOc4q9oUmW1yo/edit?usp=sharing"",""อุตรดิตถ์!J119"")"),0)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IFERROR(__xludf.DUMMYFUNCTION("IMPORTRANGE(""https://docs.google.com/spreadsheets/d/11923uPwbBZFjjGgGUA6NLw09EwE0CqkOc4q9oUmW1yo/edit?usp=sharing"",""อุตรดิตถ์!J120"")"),1)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IFERROR(__xludf.DUMMYFUNCTION("IMPORTRANGE(""https://docs.google.com/spreadsheets/d/11923uPwbBZFjjGgGUA6NLw09EwE0CqkOc4q9oUmW1yo/edit?usp=sharing"",""อุตรดิตถ์!J121"")"),1)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IFERROR(__xludf.DUMMYFUNCTION("IMPORTRANGE(""https://docs.google.com/spreadsheets/d/11923uPwbBZFjjGgGUA6NLw09EwE0CqkOc4q9oUmW1yo/edit?usp=sharing"",""อุตรดิตถ์!J122"")"),1)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IFERROR(__xludf.DUMMYFUNCTION("IMPORTRANGE(""https://docs.google.com/spreadsheets/d/11923uPwbBZFjjGgGUA6NLw09EwE0CqkOc4q9oUmW1yo/edit?usp=sharing"",""อุตรดิตถ์!I124"")"),30000)</f>
        <v>30000</v>
      </c>
      <c r="J199" s="188">
        <f ca="1">IFERROR(__xludf.DUMMYFUNCTION("IMPORTRANGE(""https://docs.google.com/spreadsheets/d/11923uPwbBZFjjGgGUA6NLw09EwE0CqkOc4q9oUmW1yo/edit?usp=sharing"",""อุตรดิตถ์!J124"")"),30000)</f>
        <v>30000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IFERROR(__xludf.DUMMYFUNCTION("IMPORTRANGE(""https://docs.google.com/spreadsheets/d/11923uPwbBZFjjGgGUA6NLw09EwE0CqkOc4q9oUmW1yo/edit?usp=sharing"",""อุตรดิตถ์!I125"")"),30000)</f>
        <v>30000</v>
      </c>
      <c r="J200" s="188">
        <f ca="1">IFERROR(__xludf.DUMMYFUNCTION("IMPORTRANGE(""https://docs.google.com/spreadsheets/d/11923uPwbBZFjjGgGUA6NLw09EwE0CqkOc4q9oUmW1yo/edit?usp=sharing"",""อุตรดิตถ์!J125"")"),0)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IFERROR(__xludf.DUMMYFUNCTION("IMPORTRANGE(""https://docs.google.com/spreadsheets/d/11923uPwbBZFjjGgGUA6NLw09EwE0CqkOc4q9oUmW1yo/edit?usp=sharing"",""อุตรดิตถ์!I126"")"),0)</f>
        <v>0</v>
      </c>
      <c r="J201" s="188">
        <f ca="1">IFERROR(__xludf.DUMMYFUNCTION("IMPORTRANGE(""https://docs.google.com/spreadsheets/d/11923uPwbBZFjjGgGUA6NLw09EwE0CqkOc4q9oUmW1yo/edit?usp=sharing"",""อุตรดิตถ์!J126"")"),0)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IFERROR(__xludf.DUMMYFUNCTION("IMPORTRANGE(""https://docs.google.com/spreadsheets/d/11923uPwbBZFjjGgGUA6NLw09EwE0CqkOc4q9oUmW1yo/edit?usp=sharing"",""อุตรดิตถ์!J127"")"),0)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IFERROR(__xludf.DUMMYFUNCTION("IMPORTRANGE(""https://docs.google.com/spreadsheets/d/11923uPwbBZFjjGgGUA6NLw09EwE0CqkOc4q9oUmW1yo/edit?usp=sharing"",""อุตรดิตถ์!J128"")"),0)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IFERROR(__xludf.DUMMYFUNCTION("IMPORTRANGE(""https://docs.google.com/spreadsheets/d/11923uPwbBZFjjGgGUA6NLw09EwE0CqkOc4q9oUmW1yo/edit?usp=sharing"",""อุตรดิตถ์!I129"")"),0)</f>
        <v>0</v>
      </c>
      <c r="J204" s="284">
        <f ca="1">IFERROR(__xludf.DUMMYFUNCTION("IMPORTRANGE(""https://docs.google.com/spreadsheets/d/11923uPwbBZFjjGgGUA6NLw09EwE0CqkOc4q9oUmW1yo/edit?usp=sharing"",""อุตรดิตถ์!J129"")"),0)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IFERROR(__xludf.DUMMYFUNCTION("IMPORTRANGE(""https://docs.google.com/spreadsheets/d/11923uPwbBZFjjGgGUA6NLw09EwE0CqkOc4q9oUmW1yo/edit?usp=sharing"",""อุตรดิตถ์!J134"")"),0)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IFERROR(__xludf.DUMMYFUNCTION("IMPORTRANGE(""https://docs.google.com/spreadsheets/d/11923uPwbBZFjjGgGUA6NLw09EwE0CqkOc4q9oUmW1yo/edit?usp=sharing"",""อุตรดิตถ์!J135"")"),0)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IFERROR(__xludf.DUMMYFUNCTION("IMPORTRANGE(""https://docs.google.com/spreadsheets/d/11923uPwbBZFjjGgGUA6NLw09EwE0CqkOc4q9oUmW1yo/edit?usp=sharing"",""อุตรดิตถ์!J136"")"),0)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IFERROR(__xludf.DUMMYFUNCTION("IMPORTRANGE(""https://docs.google.com/spreadsheets/d/11923uPwbBZFjjGgGUA6NLw09EwE0CqkOc4q9oUmW1yo/edit?usp=sharing"",""อุตรดิตถ์!J137"")"),0)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IFERROR(__xludf.DUMMYFUNCTION("IMPORTRANGE(""https://docs.google.com/spreadsheets/d/11923uPwbBZFjjGgGUA6NLw09EwE0CqkOc4q9oUmW1yo/edit?usp=sharing"",""อุตรดิตถ์!I138"")"),0)</f>
        <v>0</v>
      </c>
      <c r="J213" s="203">
        <f ca="1">IFERROR(__xludf.DUMMYFUNCTION("IMPORTRANGE(""https://docs.google.com/spreadsheets/d/11923uPwbBZFjjGgGUA6NLw09EwE0CqkOc4q9oUmW1yo/edit?usp=sharing"",""อุตรดิตถ์!J138"")"),0)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IFERROR(__xludf.DUMMYFUNCTION("IMPORTRANGE(""https://docs.google.com/spreadsheets/d/11923uPwbBZFjjGgGUA6NLw09EwE0CqkOc4q9oUmW1yo/edit?usp=sharing"",""อุตรดิตถ์!I140"")"),0)</f>
        <v>0</v>
      </c>
      <c r="J215" s="203">
        <f ca="1">IFERROR(__xludf.DUMMYFUNCTION("IMPORTRANGE(""https://docs.google.com/spreadsheets/d/11923uPwbBZFjjGgGUA6NLw09EwE0CqkOc4q9oUmW1yo/edit?usp=sharing"",""อุตรดิตถ์!J140"")"),0)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IFERROR(__xludf.DUMMYFUNCTION("IMPORTRANGE(""https://docs.google.com/spreadsheets/d/11923uPwbBZFjjGgGUA6NLw09EwE0CqkOc4q9oUmW1yo/edit?usp=sharing"",""อุตรดิตถ์!I141"")"),0)</f>
        <v>0</v>
      </c>
      <c r="J216" s="203">
        <f ca="1">IFERROR(__xludf.DUMMYFUNCTION("IMPORTRANGE(""https://docs.google.com/spreadsheets/d/11923uPwbBZFjjGgGUA6NLw09EwE0CqkOc4q9oUmW1yo/edit?usp=sharing"",""อุตรดิตถ์!J141"")"),0)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IFERROR(__xludf.DUMMYFUNCTION("IMPORTRANGE(""https://docs.google.com/spreadsheets/d/11923uPwbBZFjjGgGUA6NLw09EwE0CqkOc4q9oUmW1yo/edit?usp=sharing"",""อุตรดิตถ์!J142"")"),0)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IFERROR(__xludf.DUMMYFUNCTION("IMPORTRANGE(""https://docs.google.com/spreadsheets/d/11923uPwbBZFjjGgGUA6NLw09EwE0CqkOc4q9oUmW1yo/edit?usp=sharing"",""อุตรดิตถ์!J143"")"),0)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IFERROR(__xludf.DUMMYFUNCTION("IMPORTRANGE(""https://docs.google.com/spreadsheets/d/11923uPwbBZFjjGgGUA6NLw09EwE0CqkOc4q9oUmW1yo/edit?usp=sharing"",""อุตรดิตถ์!I144"")"),15)</f>
        <v>15</v>
      </c>
      <c r="J219" s="267">
        <f ca="1">IFERROR(__xludf.DUMMYFUNCTION("IMPORTRANGE(""https://docs.google.com/spreadsheets/d/11923uPwbBZFjjGgGUA6NLw09EwE0CqkOc4q9oUmW1yo/edit?usp=sharing"",""อุตรดิตถ์!J144"")"),15)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IFERROR(__xludf.DUMMYFUNCTION("IMPORTRANGE(""https://docs.google.com/spreadsheets/d/1Yj_ptqi66GCucihVvJfMjLAmec39IyEx_6qawtMGysU/edit?usp=sharing"",""สบก!BS35"")"),21125)</f>
        <v>21125</v>
      </c>
      <c r="N224" s="168">
        <f ca="1">IFERROR(__xludf.DUMMYFUNCTION("IMPORTRANGE(""https://docs.google.com/spreadsheets/d/1Yj_ptqi66GCucihVvJfMjLAmec39IyEx_6qawtMGysU/edit?usp=sharing"",""สบก!BT35"")"),21125)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IFERROR(__xludf.DUMMYFUNCTION("IMPORTRANGE(""https://docs.google.com/spreadsheets/d/1Yj_ptqi66GCucihVvJfMjLAmec39IyEx_6qawtMGysU/edit?usp=sharing"",""สบก!BO35"")"),0)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IFERROR(__xludf.DUMMYFUNCTION("IMPORTRANGE(""https://docs.google.com/spreadsheets/d/1Yj_ptqi66GCucihVvJfMjLAmec39IyEx_6qawtMGysU/edit?usp=sharing"",""สบก!BP35"")"),21125)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IFERROR(__xludf.DUMMYFUNCTION("IMPORTRANGE(""https://docs.google.com/spreadsheets/d/1Yj_ptqi66GCucihVvJfMjLAmec39IyEx_6qawtMGysU/edit?usp=sharing"",""สบก!BQ35"")"),0)</f>
        <v>0</v>
      </c>
      <c r="M228" s="50"/>
      <c r="N228" s="50">
        <f ca="1">IFERROR(__xludf.DUMMYFUNCTION("IMPORTRANGE(""https://docs.google.com/spreadsheets/d/1Yj_ptqi66GCucihVvJfMjLAmec39IyEx_6qawtMGysU/edit?usp=sharing"",""สบก!BU35"")"),0)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IFERROR(__xludf.DUMMYFUNCTION("IMPORTRANGE(""https://docs.google.com/spreadsheets/d/11923uPwbBZFjjGgGUA6NLw09EwE0CqkOc4q9oUmW1yo/edit?usp=sharing"",""อุตรดิตถ์!I149"")"),15)</f>
        <v>15</v>
      </c>
      <c r="J229" s="267">
        <f ca="1">IFERROR(__xludf.DUMMYFUNCTION("IMPORTRANGE(""https://docs.google.com/spreadsheets/d/11923uPwbBZFjjGgGUA6NLw09EwE0CqkOc4q9oUmW1yo/edit?usp=sharing"",""อุตรดิตถ์!J149"")"),15)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IFERROR(__xludf.DUMMYFUNCTION("IMPORTRANGE(""https://docs.google.com/spreadsheets/d/11923uPwbBZFjjGgGUA6NLw09EwE0CqkOc4q9oUmW1yo/edit?usp=sharing"",""อุตรดิตถ์!J151"")"),0)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IFERROR(__xludf.DUMMYFUNCTION("IMPORTRANGE(""https://docs.google.com/spreadsheets/d/11923uPwbBZFjjGgGUA6NLw09EwE0CqkOc4q9oUmW1yo/edit?usp=sharing"",""อุตรดิตถ์!J152"")"),0)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IFERROR(__xludf.DUMMYFUNCTION("IMPORTRANGE(""https://docs.google.com/spreadsheets/d/11923uPwbBZFjjGgGUA6NLw09EwE0CqkOc4q9oUmW1yo/edit?usp=sharing"",""อุตรดิตถ์!J153"")"),0)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IFERROR(__xludf.DUMMYFUNCTION("IMPORTRANGE(""https://docs.google.com/spreadsheets/d/11923uPwbBZFjjGgGUA6NLw09EwE0CqkOc4q9oUmW1yo/edit?usp=sharing"",""อุตรดิตถ์!J154"")"),0)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IFERROR(__xludf.DUMMYFUNCTION("IMPORTRANGE(""https://docs.google.com/spreadsheets/d/11923uPwbBZFjjGgGUA6NLw09EwE0CqkOc4q9oUmW1yo/edit?usp=sharing"",""อุตรดิตถ์!I155"")"),15)</f>
        <v>15</v>
      </c>
      <c r="J235" s="188">
        <f ca="1">IFERROR(__xludf.DUMMYFUNCTION("IMPORTRANGE(""https://docs.google.com/spreadsheets/d/11923uPwbBZFjjGgGUA6NLw09EwE0CqkOc4q9oUmW1yo/edit?usp=sharing"",""อุตรดิตถ์!J155"")"),15)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IFERROR(__xludf.DUMMYFUNCTION("IMPORTRANGE(""https://docs.google.com/spreadsheets/d/11923uPwbBZFjjGgGUA6NLw09EwE0CqkOc4q9oUmW1yo/edit?usp=sharing"",""อุตรดิตถ์!J156"")"),1)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IFERROR(__xludf.DUMMYFUNCTION("IMPORTRANGE(""https://docs.google.com/spreadsheets/d/11923uPwbBZFjjGgGUA6NLw09EwE0CqkOc4q9oUmW1yo/edit?usp=sharing"",""อุตรดิตถ์!J157"")"),1)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IFERROR(__xludf.DUMMYFUNCTION("IMPORTRANGE(""https://docs.google.com/spreadsheets/d/11923uPwbBZFjjGgGUA6NLw09EwE0CqkOc4q9oUmW1yo/edit?usp=sharing"",""อุตรดิตถ์!I158"")"),0)</f>
        <v>0</v>
      </c>
      <c r="J238" s="267">
        <f ca="1">IFERROR(__xludf.DUMMYFUNCTION("IMPORTRANGE(""https://docs.google.com/spreadsheets/d/11923uPwbBZFjjGgGUA6NLw09EwE0CqkOc4q9oUmW1yo/edit?usp=sharing"",""อุตรดิตถ์!J158"")"),0)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IFERROR(__xludf.DUMMYFUNCTION("IMPORTRANGE(""https://docs.google.com/spreadsheets/d/11923uPwbBZFjjGgGUA6NLw09EwE0CqkOc4q9oUmW1yo/edit?usp=sharing"",""อุตรดิตถ์!J159"")"),"")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IFERROR(__xludf.DUMMYFUNCTION("IMPORTRANGE(""https://docs.google.com/spreadsheets/d/11923uPwbBZFjjGgGUA6NLw09EwE0CqkOc4q9oUmW1yo/edit?usp=sharing"",""อุตรดิตถ์!J161"")"),0)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IFERROR(__xludf.DUMMYFUNCTION("IMPORTRANGE(""https://docs.google.com/spreadsheets/d/11923uPwbBZFjjGgGUA6NLw09EwE0CqkOc4q9oUmW1yo/edit?usp=sharing"",""อุตรดิตถ์!J162"")"),0)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IFERROR(__xludf.DUMMYFUNCTION("IMPORTRANGE(""https://docs.google.com/spreadsheets/d/11923uPwbBZFjjGgGUA6NLw09EwE0CqkOc4q9oUmW1yo/edit?usp=sharing"",""อุตรดิตถ์!J163"")"),0)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IFERROR(__xludf.DUMMYFUNCTION("IMPORTRANGE(""https://docs.google.com/spreadsheets/d/11923uPwbBZFjjGgGUA6NLw09EwE0CqkOc4q9oUmW1yo/edit?usp=sharing"",""อุตรดิตถ์!I164"")"),0)</f>
        <v>0</v>
      </c>
      <c r="J244" s="187">
        <f ca="1">IFERROR(__xludf.DUMMYFUNCTION("IMPORTRANGE(""https://docs.google.com/spreadsheets/d/11923uPwbBZFjjGgGUA6NLw09EwE0CqkOc4q9oUmW1yo/edit?usp=sharing"",""อุตรดิตถ์!J164"")"),0)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IFERROR(__xludf.DUMMYFUNCTION("IMPORTRANGE(""https://docs.google.com/spreadsheets/d/11923uPwbBZFjjGgGUA6NLw09EwE0CqkOc4q9oUmW1yo/edit?usp=sharing"",""อุตรดิตถ์!J165"")"),0)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IFERROR(__xludf.DUMMYFUNCTION("IMPORTRANGE(""https://docs.google.com/spreadsheets/d/11923uPwbBZFjjGgGUA6NLw09EwE0CqkOc4q9oUmW1yo/edit?usp=sharing"",""อุตรดิตถ์!J166"")"),0)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IFERROR(__xludf.DUMMYFUNCTION("IMPORTRANGE(""https://docs.google.com/spreadsheets/d/11923uPwbBZFjjGgGUA6NLw09EwE0CqkOc4q9oUmW1yo/edit?usp=sharing"",""อุตรดิตถ์!I169"")"),20)</f>
        <v>20</v>
      </c>
      <c r="J249" s="316">
        <f ca="1">IFERROR(__xludf.DUMMYFUNCTION("IMPORTRANGE(""https://docs.google.com/spreadsheets/d/11923uPwbBZFjjGgGUA6NLw09EwE0CqkOc4q9oUmW1yo/edit?usp=sharing"",""อุตรดิตถ์!J169"")"),20)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141000</v>
      </c>
      <c r="N250" s="152">
        <f t="shared" ca="1" si="77"/>
        <v>140820.76</v>
      </c>
      <c r="O250" s="151">
        <f t="shared" ref="O250:O252" ca="1" si="78">IF(L250&gt;0,N250*100/L250,0)</f>
        <v>69.233411996066863</v>
      </c>
      <c r="P250" s="151">
        <f t="shared" ref="P250:P252" ca="1" si="79">IF(M250&gt;0,N250*100/M250,0)</f>
        <v>99.872879432624117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141000</v>
      </c>
      <c r="N252" s="88">
        <f t="shared" ca="1" si="81"/>
        <v>140820.76</v>
      </c>
      <c r="O252" s="156">
        <f t="shared" ca="1" si="78"/>
        <v>69.233411996066863</v>
      </c>
      <c r="P252" s="156">
        <f t="shared" ca="1" si="79"/>
        <v>99.872879432624117</v>
      </c>
    </row>
    <row r="253" spans="1:16" ht="21.75" customHeight="1" x14ac:dyDescent="0.45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IFERROR(__xludf.DUMMYFUNCTION("IMPORTRANGE(""https://docs.google.com/spreadsheets/d/1Yj_ptqi66GCucihVvJfMjLAmec39IyEx_6qawtMGysU/edit?usp=sharing"",""สบก!CB35"")"),141000)</f>
        <v>141000</v>
      </c>
      <c r="N254" s="168">
        <f ca="1">IFERROR(__xludf.DUMMYFUNCTION("IMPORTRANGE(""https://docs.google.com/spreadsheets/d/1Yj_ptqi66GCucihVvJfMjLAmec39IyEx_6qawtMGysU/edit?usp=sharing"",""สบก!CC35"")"),140820.76)</f>
        <v>140820.76</v>
      </c>
      <c r="O254" s="168">
        <f ca="1">IF(L254&gt;0,N254*100/L254,0)</f>
        <v>69.233411996066863</v>
      </c>
      <c r="P254" s="168">
        <f ca="1">IF(M254&gt;0,N254*100/M254,0)</f>
        <v>99.872879432624117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IFERROR(__xludf.DUMMYFUNCTION("IMPORTRANGE(""https://docs.google.com/spreadsheets/d/1Yj_ptqi66GCucihVvJfMjLAmec39IyEx_6qawtMGysU/edit?usp=sharing"",""สบก!BX35"")"),132000)</f>
        <v>132000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IFERROR(__xludf.DUMMYFUNCTION("IMPORTRANGE(""https://docs.google.com/spreadsheets/d/1Yj_ptqi66GCucihVvJfMjLAmec39IyEx_6qawtMGysU/edit?usp=sharing"",""สบก!BY35"")"),71400)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IFERROR(__xludf.DUMMYFUNCTION("IMPORTRANGE(""https://docs.google.com/spreadsheets/d/1Yj_ptqi66GCucihVvJfMjLAmec39IyEx_6qawtMGysU/edit?usp=sharing"",""สบก!BZ35"")"),0)</f>
        <v>0</v>
      </c>
      <c r="M258" s="50"/>
      <c r="N258" s="50">
        <f ca="1">IFERROR(__xludf.DUMMYFUNCTION("IMPORTRANGE(""https://docs.google.com/spreadsheets/d/1Yj_ptqi66GCucihVvJfMjLAmec39IyEx_6qawtMGysU/edit?usp=sharing"",""สบก!CD35"")"),0)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IFERROR(__xludf.DUMMYFUNCTION("IMPORTRANGE(""https://docs.google.com/spreadsheets/d/11923uPwbBZFjjGgGUA6NLw09EwE0CqkOc4q9oUmW1yo/edit?usp=sharing"",""อุตรดิตถ์!J175"")"),0)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IFERROR(__xludf.DUMMYFUNCTION("IMPORTRANGE(""https://docs.google.com/spreadsheets/d/11923uPwbBZFjjGgGUA6NLw09EwE0CqkOc4q9oUmW1yo/edit?usp=sharing"",""อุตรดิตถ์!J176"")"),1)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IFERROR(__xludf.DUMMYFUNCTION("IMPORTRANGE(""https://docs.google.com/spreadsheets/d/11923uPwbBZFjjGgGUA6NLw09EwE0CqkOc4q9oUmW1yo/edit?usp=sharing"",""อุตรดิตถ์!J177"")"),1)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IFERROR(__xludf.DUMMYFUNCTION("IMPORTRANGE(""https://docs.google.com/spreadsheets/d/11923uPwbBZFjjGgGUA6NLw09EwE0CqkOc4q9oUmW1yo/edit?usp=sharing"",""อุตรดิตถ์!J178"")"),1)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IFERROR(__xludf.DUMMYFUNCTION("IMPORTRANGE(""https://docs.google.com/spreadsheets/d/11923uPwbBZFjjGgGUA6NLw09EwE0CqkOc4q9oUmW1yo/edit?usp=sharing"",""อุตรดิตถ์!I179"")"),1)</f>
        <v>1</v>
      </c>
      <c r="J264" s="188">
        <f ca="1">IFERROR(__xludf.DUMMYFUNCTION("IMPORTRANGE(""https://docs.google.com/spreadsheets/d/11923uPwbBZFjjGgGUA6NLw09EwE0CqkOc4q9oUmW1yo/edit?usp=sharing"",""อุตรดิตถ์!J179"")"),1)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IFERROR(__xludf.DUMMYFUNCTION("IMPORTRANGE(""https://docs.google.com/spreadsheets/d/11923uPwbBZFjjGgGUA6NLw09EwE0CqkOc4q9oUmW1yo/edit?usp=sharing"",""อุตรดิตถ์!I180"")"),20)</f>
        <v>20</v>
      </c>
      <c r="J265" s="188">
        <f ca="1">IFERROR(__xludf.DUMMYFUNCTION("IMPORTRANGE(""https://docs.google.com/spreadsheets/d/11923uPwbBZFjjGgGUA6NLw09EwE0CqkOc4q9oUmW1yo/edit?usp=sharing"",""อุตรดิตถ์!J180"")"),20)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IFERROR(__xludf.DUMMYFUNCTION("IMPORTRANGE(""https://docs.google.com/spreadsheets/d/11923uPwbBZFjjGgGUA6NLw09EwE0CqkOc4q9oUmW1yo/edit?usp=sharing"",""อุตรดิตถ์!I181"")"),20)</f>
        <v>20</v>
      </c>
      <c r="J266" s="188">
        <f ca="1">IFERROR(__xludf.DUMMYFUNCTION("IMPORTRANGE(""https://docs.google.com/spreadsheets/d/11923uPwbBZFjjGgGUA6NLw09EwE0CqkOc4q9oUmW1yo/edit?usp=sharing"",""อุตรดิตถ์!J181"")"),20)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IFERROR(__xludf.DUMMYFUNCTION("IMPORTRANGE(""https://docs.google.com/spreadsheets/d/11923uPwbBZFjjGgGUA6NLw09EwE0CqkOc4q9oUmW1yo/edit?usp=sharing"",""อุตรดิตถ์!I182"")"),1)</f>
        <v>1</v>
      </c>
      <c r="J267" s="188">
        <f ca="1">IFERROR(__xludf.DUMMYFUNCTION("IMPORTRANGE(""https://docs.google.com/spreadsheets/d/11923uPwbBZFjjGgGUA6NLw09EwE0CqkOc4q9oUmW1yo/edit?usp=sharing"",""อุตรดิตถ์!J182"")"),1)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IFERROR(__xludf.DUMMYFUNCTION("IMPORTRANGE(""https://docs.google.com/spreadsheets/d/11923uPwbBZFjjGgGUA6NLw09EwE0CqkOc4q9oUmW1yo/edit?usp=sharing"",""อุตรดิตถ์!J183"")"),0)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IFERROR(__xludf.DUMMYFUNCTION("IMPORTRANGE(""https://docs.google.com/spreadsheets/d/11923uPwbBZFjjGgGUA6NLw09EwE0CqkOc4q9oUmW1yo/edit?usp=sharing"",""อุตรดิตถ์!J184"")"),0)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IFERROR(__xludf.DUMMYFUNCTION("IMPORTRANGE(""https://docs.google.com/spreadsheets/d/11923uPwbBZFjjGgGUA6NLw09EwE0CqkOc4q9oUmW1yo/edit?usp=sharing"",""อุตรดิตถ์!I185"")"),0)</f>
        <v>0</v>
      </c>
      <c r="J270" s="316">
        <f ca="1">IFERROR(__xludf.DUMMYFUNCTION("IMPORTRANGE(""https://docs.google.com/spreadsheets/d/11923uPwbBZFjjGgGUA6NLw09EwE0CqkOc4q9oUmW1yo/edit?usp=sharing"",""อุตรดิตถ์!J185"")"),0)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IFERROR(__xludf.DUMMYFUNCTION("IMPORTRANGE(""https://docs.google.com/spreadsheets/d/1Yj_ptqi66GCucihVvJfMjLAmec39IyEx_6qawtMGysU/edit?usp=sharing"",""สบก!CK35"")"),0)</f>
        <v>0</v>
      </c>
      <c r="N275" s="168">
        <f ca="1">IFERROR(__xludf.DUMMYFUNCTION("IMPORTRANGE(""https://docs.google.com/spreadsheets/d/1Yj_ptqi66GCucihVvJfMjLAmec39IyEx_6qawtMGysU/edit?usp=sharing"",""สบก!CL35"")"),0)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IFERROR(__xludf.DUMMYFUNCTION("IMPORTRANGE(""https://docs.google.com/spreadsheets/d/1Yj_ptqi66GCucihVvJfMjLAmec39IyEx_6qawtMGysU/edit?usp=sharing"",""สบก!CG35"")"),0)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IFERROR(__xludf.DUMMYFUNCTION("IMPORTRANGE(""https://docs.google.com/spreadsheets/d/1Yj_ptqi66GCucihVvJfMjLAmec39IyEx_6qawtMGysU/edit?usp=sharing"",""สบก!CH35"")"),0)</f>
        <v>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IFERROR(__xludf.DUMMYFUNCTION("IMPORTRANGE(""https://docs.google.com/spreadsheets/d/1Yj_ptqi66GCucihVvJfMjLAmec39IyEx_6qawtMGysU/edit?usp=sharing"",""สบก!CI35"")"),0)</f>
        <v>0</v>
      </c>
      <c r="M279" s="50"/>
      <c r="N279" s="50">
        <f ca="1">IFERROR(__xludf.DUMMYFUNCTION("IMPORTRANGE(""https://docs.google.com/spreadsheets/d/1Yj_ptqi66GCucihVvJfMjLAmec39IyEx_6qawtMGysU/edit?usp=sharing"",""สบก!CM35"")"),0)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IFERROR(__xludf.DUMMYFUNCTION("IMPORTRANGE(""https://docs.google.com/spreadsheets/d/11923uPwbBZFjjGgGUA6NLw09EwE0CqkOc4q9oUmW1yo/edit?usp=sharing"",""อุตรดิตถ์!J191"")"),0)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IFERROR(__xludf.DUMMYFUNCTION("IMPORTRANGE(""https://docs.google.com/spreadsheets/d/11923uPwbBZFjjGgGUA6NLw09EwE0CqkOc4q9oUmW1yo/edit?usp=sharing"",""อุตรดิตถ์!J192"")"),0)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IFERROR(__xludf.DUMMYFUNCTION("IMPORTRANGE(""https://docs.google.com/spreadsheets/d/11923uPwbBZFjjGgGUA6NLw09EwE0CqkOc4q9oUmW1yo/edit?usp=sharing"",""อุตรดิตถ์!J193"")"),0)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IFERROR(__xludf.DUMMYFUNCTION("IMPORTRANGE(""https://docs.google.com/spreadsheets/d/11923uPwbBZFjjGgGUA6NLw09EwE0CqkOc4q9oUmW1yo/edit?usp=sharing"",""อุตรดิตถ์!J194"")"),0)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IFERROR(__xludf.DUMMYFUNCTION("IMPORTRANGE(""https://docs.google.com/spreadsheets/d/11923uPwbBZFjjGgGUA6NLw09EwE0CqkOc4q9oUmW1yo/edit?usp=sharing"",""อุตรดิตถ์!I195"")"),0)</f>
        <v>0</v>
      </c>
      <c r="J285" s="188">
        <f ca="1">IFERROR(__xludf.DUMMYFUNCTION("IMPORTRANGE(""https://docs.google.com/spreadsheets/d/11923uPwbBZFjjGgGUA6NLw09EwE0CqkOc4q9oUmW1yo/edit?usp=sharing"",""อุตรดิตถ์!J195"")"),0)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IFERROR(__xludf.DUMMYFUNCTION("IMPORTRANGE(""https://docs.google.com/spreadsheets/d/11923uPwbBZFjjGgGUA6NLw09EwE0CqkOc4q9oUmW1yo/edit?usp=sharing"",""อุตรดิตถ์!J196"")"),0)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IFERROR(__xludf.DUMMYFUNCTION("IMPORTRANGE(""https://docs.google.com/spreadsheets/d/11923uPwbBZFjjGgGUA6NLw09EwE0CqkOc4q9oUmW1yo/edit?usp=sharing"",""อุตรดิตถ์!J197"")"),0)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IFERROR(__xludf.DUMMYFUNCTION("IMPORTRANGE(""https://docs.google.com/spreadsheets/d/11923uPwbBZFjjGgGUA6NLw09EwE0CqkOc4q9oUmW1yo/edit?usp=sharing"",""อุตรดิตถ์!I199"")"),0)</f>
        <v>0</v>
      </c>
      <c r="J289" s="316">
        <f ca="1">IFERROR(__xludf.DUMMYFUNCTION("IMPORTRANGE(""https://docs.google.com/spreadsheets/d/11923uPwbBZFjjGgGUA6NLw09EwE0CqkOc4q9oUmW1yo/edit?usp=sharing"",""อุตรดิตถ์!J199"")"),0)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IFERROR(__xludf.DUMMYFUNCTION("IMPORTRANGE(""https://docs.google.com/spreadsheets/d/1Yj_ptqi66GCucihVvJfMjLAmec39IyEx_6qawtMGysU/edit?usp=sharing"",""สบก!CT35"")"),0)</f>
        <v>0</v>
      </c>
      <c r="N294" s="168">
        <f ca="1">IFERROR(__xludf.DUMMYFUNCTION("IMPORTRANGE(""https://docs.google.com/spreadsheets/d/1Yj_ptqi66GCucihVvJfMjLAmec39IyEx_6qawtMGysU/edit?usp=sharing"",""สบก!CU35"")"),0)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IFERROR(__xludf.DUMMYFUNCTION("IMPORTRANGE(""https://docs.google.com/spreadsheets/d/1Yj_ptqi66GCucihVvJfMjLAmec39IyEx_6qawtMGysU/edit?usp=sharing"",""สบก!CP35"")"),0)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IFERROR(__xludf.DUMMYFUNCTION("IMPORTRANGE(""https://docs.google.com/spreadsheets/d/1Yj_ptqi66GCucihVvJfMjLAmec39IyEx_6qawtMGysU/edit?usp=sharing"",""สบก!CQ35"")"),0)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IFERROR(__xludf.DUMMYFUNCTION("IMPORTRANGE(""https://docs.google.com/spreadsheets/d/1Yj_ptqi66GCucihVvJfMjLAmec39IyEx_6qawtMGysU/edit?usp=sharing"",""สบก!CR35"")"),0)</f>
        <v>0</v>
      </c>
      <c r="M298" s="50"/>
      <c r="N298" s="50">
        <f ca="1">IFERROR(__xludf.DUMMYFUNCTION("IMPORTRANGE(""https://docs.google.com/spreadsheets/d/1Yj_ptqi66GCucihVvJfMjLAmec39IyEx_6qawtMGysU/edit?usp=sharing"",""สบก!CV35"")"),0)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IFERROR(__xludf.DUMMYFUNCTION("IMPORTRANGE(""https://docs.google.com/spreadsheets/d/11923uPwbBZFjjGgGUA6NLw09EwE0CqkOc4q9oUmW1yo/edit?usp=sharing"",""อุตรดิตถ์!J205"")"),0)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IFERROR(__xludf.DUMMYFUNCTION("IMPORTRANGE(""https://docs.google.com/spreadsheets/d/11923uPwbBZFjjGgGUA6NLw09EwE0CqkOc4q9oUmW1yo/edit?usp=sharing"",""อุตรดิตถ์!J206"")"),0)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IFERROR(__xludf.DUMMYFUNCTION("IMPORTRANGE(""https://docs.google.com/spreadsheets/d/11923uPwbBZFjjGgGUA6NLw09EwE0CqkOc4q9oUmW1yo/edit?usp=sharing"",""อุตรดิตถ์!J207"")"),0)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IFERROR(__xludf.DUMMYFUNCTION("IMPORTRANGE(""https://docs.google.com/spreadsheets/d/11923uPwbBZFjjGgGUA6NLw09EwE0CqkOc4q9oUmW1yo/edit?usp=sharing"",""อุตรดิตถ์!J208"")"),0)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IFERROR(__xludf.DUMMYFUNCTION("IMPORTRANGE(""https://docs.google.com/spreadsheets/d/11923uPwbBZFjjGgGUA6NLw09EwE0CqkOc4q9oUmW1yo/edit?usp=sharing"",""อุตรดิตถ์!I209"")"),0)</f>
        <v>0</v>
      </c>
      <c r="J304" s="203">
        <f ca="1">IFERROR(__xludf.DUMMYFUNCTION("IMPORTRANGE(""https://docs.google.com/spreadsheets/d/11923uPwbBZFjjGgGUA6NLw09EwE0CqkOc4q9oUmW1yo/edit?usp=sharing"",""อุตรดิตถ์!J209"")"),0)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IFERROR(__xludf.DUMMYFUNCTION("IMPORTRANGE(""https://docs.google.com/spreadsheets/d/11923uPwbBZFjjGgGUA6NLw09EwE0CqkOc4q9oUmW1yo/edit?usp=sharing"",""อุตรดิตถ์!I211"")"),0)</f>
        <v>0</v>
      </c>
      <c r="J306" s="203">
        <f ca="1">IFERROR(__xludf.DUMMYFUNCTION("IMPORTRANGE(""https://docs.google.com/spreadsheets/d/11923uPwbBZFjjGgGUA6NLw09EwE0CqkOc4q9oUmW1yo/edit?usp=sharing"",""อุตรดิตถ์!J211"")"),0)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IFERROR(__xludf.DUMMYFUNCTION("IMPORTRANGE(""https://docs.google.com/spreadsheets/d/11923uPwbBZFjjGgGUA6NLw09EwE0CqkOc4q9oUmW1yo/edit?usp=sharing"",""อุตรดิตถ์!J212"")"),0)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IFERROR(__xludf.DUMMYFUNCTION("IMPORTRANGE(""https://docs.google.com/spreadsheets/d/11923uPwbBZFjjGgGUA6NLw09EwE0CqkOc4q9oUmW1yo/edit?usp=sharing"",""อุตรดิตถ์!J213"")"),0)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IFERROR(__xludf.DUMMYFUNCTION("IMPORTRANGE(""https://docs.google.com/spreadsheets/d/11923uPwbBZFjjGgGUA6NLw09EwE0CqkOc4q9oUmW1yo/edit?usp=sharing"",""อุตรดิตถ์!I214"")"),0)</f>
        <v>0</v>
      </c>
      <c r="J309" s="333">
        <f ca="1">IFERROR(__xludf.DUMMYFUNCTION("IMPORTRANGE(""https://docs.google.com/spreadsheets/d/11923uPwbBZFjjGgGUA6NLw09EwE0CqkOc4q9oUmW1yo/edit?usp=sharing"",""อุตรดิตถ์!J214"")"),0)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IFERROR(__xludf.DUMMYFUNCTION("IMPORTRANGE(""https://docs.google.com/spreadsheets/d/1Yj_ptqi66GCucihVvJfMjLAmec39IyEx_6qawtMGysU/edit?usp=sharing"",""สบก!DC35"")"),0)</f>
        <v>0</v>
      </c>
      <c r="N314" s="168">
        <f ca="1">IFERROR(__xludf.DUMMYFUNCTION("IMPORTRANGE(""https://docs.google.com/spreadsheets/d/1Yj_ptqi66GCucihVvJfMjLAmec39IyEx_6qawtMGysU/edit?usp=sharing"",""สบก!DD35"")"),0)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IFERROR(__xludf.DUMMYFUNCTION("IMPORTRANGE(""https://docs.google.com/spreadsheets/d/1Yj_ptqi66GCucihVvJfMjLAmec39IyEx_6qawtMGysU/edit?usp=sharing"",""สบก!CY35"")"),0)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IFERROR(__xludf.DUMMYFUNCTION("IMPORTRANGE(""https://docs.google.com/spreadsheets/d/1Yj_ptqi66GCucihVvJfMjLAmec39IyEx_6qawtMGysU/edit?usp=sharing"",""สบก!CZ35"")"),0)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IFERROR(__xludf.DUMMYFUNCTION("IMPORTRANGE(""https://docs.google.com/spreadsheets/d/1Yj_ptqi66GCucihVvJfMjLAmec39IyEx_6qawtMGysU/edit?usp=sharing"",""สบก!DA35"")"),0)</f>
        <v>0</v>
      </c>
      <c r="M318" s="50"/>
      <c r="N318" s="50">
        <f ca="1">IFERROR(__xludf.DUMMYFUNCTION("IMPORTRANGE(""https://docs.google.com/spreadsheets/d/1Yj_ptqi66GCucihVvJfMjLAmec39IyEx_6qawtMGysU/edit?usp=sharing"",""สบก!DE35"")"),0)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IFERROR(__xludf.DUMMYFUNCTION("IMPORTRANGE(""https://docs.google.com/spreadsheets/d/11923uPwbBZFjjGgGUA6NLw09EwE0CqkOc4q9oUmW1yo/edit?usp=sharing"",""อุตรดิตถ์!J220"")"),0)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IFERROR(__xludf.DUMMYFUNCTION("IMPORTRANGE(""https://docs.google.com/spreadsheets/d/11923uPwbBZFjjGgGUA6NLw09EwE0CqkOc4q9oUmW1yo/edit?usp=sharing"",""อุตรดิตถ์!J221"")"),0)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IFERROR(__xludf.DUMMYFUNCTION("IMPORTRANGE(""https://docs.google.com/spreadsheets/d/11923uPwbBZFjjGgGUA6NLw09EwE0CqkOc4q9oUmW1yo/edit?usp=sharing"",""อุตรดิตถ์!J222"")"),0)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IFERROR(__xludf.DUMMYFUNCTION("IMPORTRANGE(""https://docs.google.com/spreadsheets/d/11923uPwbBZFjjGgGUA6NLw09EwE0CqkOc4q9oUmW1yo/edit?usp=sharing"",""อุตรดิตถ์!J223"")"),0)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IFERROR(__xludf.DUMMYFUNCTION("IMPORTRANGE(""https://docs.google.com/spreadsheets/d/11923uPwbBZFjjGgGUA6NLw09EwE0CqkOc4q9oUmW1yo/edit?usp=sharing"",""อุตรดิตถ์!I224"")"),0)</f>
        <v>0</v>
      </c>
      <c r="J324" s="203">
        <f ca="1">IFERROR(__xludf.DUMMYFUNCTION("IMPORTRANGE(""https://docs.google.com/spreadsheets/d/11923uPwbBZFjjGgGUA6NLw09EwE0CqkOc4q9oUmW1yo/edit?usp=sharing"",""อุตรดิตถ์!J224"")"),0)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IFERROR(__xludf.DUMMYFUNCTION("IMPORTRANGE(""https://docs.google.com/spreadsheets/d/11923uPwbBZFjjGgGUA6NLw09EwE0CqkOc4q9oUmW1yo/edit?usp=sharing"",""อุตรดิตถ์!J225"")"),0)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IFERROR(__xludf.DUMMYFUNCTION("IMPORTRANGE(""https://docs.google.com/spreadsheets/d/11923uPwbBZFjjGgGUA6NLw09EwE0CqkOc4q9oUmW1yo/edit?usp=sharing"",""อุตรดิตถ์!J226"")"),0)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IFERROR(__xludf.DUMMYFUNCTION("IMPORTRANGE(""https://docs.google.com/spreadsheets/d/11923uPwbBZFjjGgGUA6NLw09EwE0CqkOc4q9oUmW1yo/edit?usp=sharing"",""อุตรดิตถ์!I228"")"),540)</f>
        <v>540</v>
      </c>
      <c r="J328" s="339">
        <f ca="1">IFERROR(__xludf.DUMMYFUNCTION("IMPORTRANGE(""https://docs.google.com/spreadsheets/d/11923uPwbBZFjjGgGUA6NLw09EwE0CqkOc4q9oUmW1yo/edit?usp=sharing"",""อุตรดิตถ์!J228"")"),151)</f>
        <v>151</v>
      </c>
      <c r="K328" s="317">
        <f ca="1">IF(I328&gt;0,J328*100/I328,0)</f>
        <v>27.962962962962962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943300</v>
      </c>
      <c r="M329" s="152">
        <f t="shared" ca="1" si="98"/>
        <v>699300</v>
      </c>
      <c r="N329" s="152">
        <f t="shared" ca="1" si="98"/>
        <v>555411</v>
      </c>
      <c r="O329" s="151">
        <f t="shared" ref="O329:O331" ca="1" si="99">IF(L329&gt;0,N329*100/L329,0)</f>
        <v>58.879571716315063</v>
      </c>
      <c r="P329" s="151">
        <f t="shared" ref="P329:P331" ca="1" si="100">IF(M329&gt;0,N329*100/M329,0)</f>
        <v>79.423852423852423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943300</v>
      </c>
      <c r="M331" s="88">
        <f t="shared" ca="1" si="102"/>
        <v>699300</v>
      </c>
      <c r="N331" s="88">
        <f t="shared" ca="1" si="102"/>
        <v>555411</v>
      </c>
      <c r="O331" s="156">
        <f t="shared" ca="1" si="99"/>
        <v>58.879571716315063</v>
      </c>
      <c r="P331" s="156">
        <f t="shared" ca="1" si="100"/>
        <v>79.423852423852423</v>
      </c>
    </row>
    <row r="332" spans="1:16" ht="21.75" customHeight="1" x14ac:dyDescent="0.45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943300</v>
      </c>
      <c r="M333" s="167">
        <f ca="1">IFERROR(__xludf.DUMMYFUNCTION("IMPORTRANGE(""https://docs.google.com/spreadsheets/d/1Yj_ptqi66GCucihVvJfMjLAmec39IyEx_6qawtMGysU/edit?usp=sharing"",""สบก!DL35"")"),699300)</f>
        <v>699300</v>
      </c>
      <c r="N333" s="168">
        <f ca="1">IFERROR(__xludf.DUMMYFUNCTION("IMPORTRANGE(""https://docs.google.com/spreadsheets/d/1Yj_ptqi66GCucihVvJfMjLAmec39IyEx_6qawtMGysU/edit?usp=sharing"",""สบก!DM35"")"),555411)</f>
        <v>555411</v>
      </c>
      <c r="O333" s="168">
        <f ca="1">IF(L333&gt;0,N333*100/L333,0)</f>
        <v>58.879571716315063</v>
      </c>
      <c r="P333" s="168">
        <f ca="1">IF(M333&gt;0,N333*100/M333,0)</f>
        <v>79.423852423852423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IFERROR(__xludf.DUMMYFUNCTION("IMPORTRANGE(""https://docs.google.com/spreadsheets/d/1Yj_ptqi66GCucihVvJfMjLAmec39IyEx_6qawtMGysU/edit?usp=sharing"",""สบก!DH35"")"),614000)</f>
        <v>614000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IFERROR(__xludf.DUMMYFUNCTION("IMPORTRANGE(""https://docs.google.com/spreadsheets/d/1Yj_ptqi66GCucihVvJfMjLAmec39IyEx_6qawtMGysU/edit?usp=sharing"",""สบก!DI35"")"),329300)</f>
        <v>329300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IFERROR(__xludf.DUMMYFUNCTION("IMPORTRANGE(""https://docs.google.com/spreadsheets/d/1Yj_ptqi66GCucihVvJfMjLAmec39IyEx_6qawtMGysU/edit?usp=sharing"",""สบก!DJ35"")"),0)</f>
        <v>0</v>
      </c>
      <c r="M337" s="50"/>
      <c r="N337" s="50">
        <f ca="1">IFERROR(__xludf.DUMMYFUNCTION("IMPORTRANGE(""https://docs.google.com/spreadsheets/d/1Yj_ptqi66GCucihVvJfMjLAmec39IyEx_6qawtMGysU/edit?usp=sharing"",""สบก!DN35"")"),0)</f>
        <v>0</v>
      </c>
      <c r="O337" s="50">
        <f ca="1">IF(L337&gt;0,N337*100/L337,0)</f>
        <v>0</v>
      </c>
      <c r="P337" s="50"/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IFERROR(__xludf.DUMMYFUNCTION("IMPORTRANGE(""https://docs.google.com/spreadsheets/d/11923uPwbBZFjjGgGUA6NLw09EwE0CqkOc4q9oUmW1yo/edit?usp=sharing"",""อุตรดิตถ์!I234"")"),0)</f>
        <v>0</v>
      </c>
      <c r="J339" s="187">
        <f ca="1">IFERROR(__xludf.DUMMYFUNCTION("IMPORTRANGE(""https://docs.google.com/spreadsheets/d/11923uPwbBZFjjGgGUA6NLw09EwE0CqkOc4q9oUmW1yo/edit?usp=sharing"",""อุตรดิตถ์!J234"")"),63)</f>
        <v>63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IFERROR(__xludf.DUMMYFUNCTION("IMPORTRANGE(""https://docs.google.com/spreadsheets/d/11923uPwbBZFjjGgGUA6NLw09EwE0CqkOc4q9oUmW1yo/edit?usp=sharing"",""อุตรดิตถ์!I235"")"),800)</f>
        <v>800</v>
      </c>
      <c r="J340" s="187">
        <f ca="1">IFERROR(__xludf.DUMMYFUNCTION("IMPORTRANGE(""https://docs.google.com/spreadsheets/d/11923uPwbBZFjjGgGUA6NLw09EwE0CqkOc4q9oUmW1yo/edit?usp=sharing"",""อุตรดิตถ์!J235"")"),510.49)</f>
        <v>510.49</v>
      </c>
      <c r="K340" s="342">
        <f t="shared" ca="1" si="103"/>
        <v>63.811250000000001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IFERROR(__xludf.DUMMYFUNCTION("IMPORTRANGE(""https://docs.google.com/spreadsheets/d/11923uPwbBZFjjGgGUA6NLw09EwE0CqkOc4q9oUmW1yo/edit?usp=sharing"",""อุตรดิตถ์!I236"")"),540)</f>
        <v>540</v>
      </c>
      <c r="J341" s="187">
        <f ca="1">IFERROR(__xludf.DUMMYFUNCTION("IMPORTRANGE(""https://docs.google.com/spreadsheets/d/11923uPwbBZFjjGgGUA6NLw09EwE0CqkOc4q9oUmW1yo/edit?usp=sharing"",""อุตรดิตถ์!J236"")"),176)</f>
        <v>176</v>
      </c>
      <c r="K341" s="342">
        <f t="shared" ca="1" si="103"/>
        <v>32.592592592592595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IFERROR(__xludf.DUMMYFUNCTION("IMPORTRANGE(""https://docs.google.com/spreadsheets/d/11923uPwbBZFjjGgGUA6NLw09EwE0CqkOc4q9oUmW1yo/edit?usp=sharing"",""อุตรดิตถ์!I237"")"),0)</f>
        <v>0</v>
      </c>
      <c r="J342" s="187">
        <f ca="1">IFERROR(__xludf.DUMMYFUNCTION("IMPORTRANGE(""https://docs.google.com/spreadsheets/d/11923uPwbBZFjjGgGUA6NLw09EwE0CqkOc4q9oUmW1yo/edit?usp=sharing"",""อุตรดิตถ์!J237"")"),1782.11)</f>
        <v>1782.11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IFERROR(__xludf.DUMMYFUNCTION("IMPORTRANGE(""https://docs.google.com/spreadsheets/d/11923uPwbBZFjjGgGUA6NLw09EwE0CqkOc4q9oUmW1yo/edit?usp=sharing"",""อุตรดิตถ์!I238"")"),540)</f>
        <v>540</v>
      </c>
      <c r="J343" s="187">
        <f ca="1">IFERROR(__xludf.DUMMYFUNCTION("IMPORTRANGE(""https://docs.google.com/spreadsheets/d/11923uPwbBZFjjGgGUA6NLw09EwE0CqkOc4q9oUmW1yo/edit?usp=sharing"",""อุตรดิตถ์!J238"")"),0)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IFERROR(__xludf.DUMMYFUNCTION("IMPORTRANGE(""https://docs.google.com/spreadsheets/d/11923uPwbBZFjjGgGUA6NLw09EwE0CqkOc4q9oUmW1yo/edit?usp=sharing"",""อุตรดิตถ์!I239"")"),0)</f>
        <v>0</v>
      </c>
      <c r="J344" s="187">
        <f ca="1">IFERROR(__xludf.DUMMYFUNCTION("IMPORTRANGE(""https://docs.google.com/spreadsheets/d/11923uPwbBZFjjGgGUA6NLw09EwE0CqkOc4q9oUmW1yo/edit?usp=sharing"",""อุตรดิตถ์!J239"")"),0)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IFERROR(__xludf.DUMMYFUNCTION("IMPORTRANGE(""https://docs.google.com/spreadsheets/d/11923uPwbBZFjjGgGUA6NLw09EwE0CqkOc4q9oUmW1yo/edit?usp=sharing"",""อุตรดิตถ์!I240"")"),540)</f>
        <v>540</v>
      </c>
      <c r="J345" s="187">
        <f ca="1">IFERROR(__xludf.DUMMYFUNCTION("IMPORTRANGE(""https://docs.google.com/spreadsheets/d/11923uPwbBZFjjGgGUA6NLw09EwE0CqkOc4q9oUmW1yo/edit?usp=sharing"",""อุตรดิตถ์!J240"")"),151)</f>
        <v>151</v>
      </c>
      <c r="K345" s="342">
        <f t="shared" ca="1" si="103"/>
        <v>27.962962962962962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IFERROR(__xludf.DUMMYFUNCTION("IMPORTRANGE(""https://docs.google.com/spreadsheets/d/11923uPwbBZFjjGgGUA6NLw09EwE0CqkOc4q9oUmW1yo/edit?usp=sharing"",""อุตรดิตถ์!I241"")"),0)</f>
        <v>0</v>
      </c>
      <c r="J346" s="187">
        <f ca="1">IFERROR(__xludf.DUMMYFUNCTION("IMPORTRANGE(""https://docs.google.com/spreadsheets/d/11923uPwbBZFjjGgGUA6NLw09EwE0CqkOc4q9oUmW1yo/edit?usp=sharing"",""อุตรดิตถ์!J241"")"),1607.35)</f>
        <v>1607.35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IFERROR(__xludf.DUMMYFUNCTION("IMPORTRANGE(""https://docs.google.com/spreadsheets/d/11923uPwbBZFjjGgGUA6NLw09EwE0CqkOc4q9oUmW1yo/edit?usp=sharing"",""อุตรดิตถ์!L242"")"),2204727)</f>
        <v>2204727</v>
      </c>
      <c r="M347" s="357"/>
      <c r="N347" s="357">
        <f ca="1">IFERROR(__xludf.DUMMYFUNCTION("IMPORTRANGE(""https://docs.google.com/spreadsheets/d/11923uPwbBZFjjGgGUA6NLw09EwE0CqkOc4q9oUmW1yo/edit?usp=sharing"",""อุตรดิตถ์!M242"")"),1113952.09)</f>
        <v>1113952.0900000001</v>
      </c>
      <c r="O347" s="357">
        <f ca="1">+IF(L347&gt;0,N347*100/L347,0)</f>
        <v>50.525624714533826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IFERROR(__xludf.DUMMYFUNCTION("IMPORTRANGE(""https://docs.google.com/spreadsheets/d/11923uPwbBZFjjGgGUA6NLw09EwE0CqkOc4q9oUmW1yo/edit?usp=sharing"",""อุตรดิตถ์!I244"")"),30)</f>
        <v>30</v>
      </c>
      <c r="J349" s="370">
        <f ca="1">IFERROR(__xludf.DUMMYFUNCTION("IMPORTRANGE(""https://docs.google.com/spreadsheets/d/11923uPwbBZFjjGgGUA6NLw09EwE0CqkOc4q9oUmW1yo/edit?usp=sharing"",""อุตรดิตถ์!J244"")"),30)</f>
        <v>30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IFERROR(__xludf.DUMMYFUNCTION("IMPORTRANGE(""https://docs.google.com/spreadsheets/d/11923uPwbBZFjjGgGUA6NLw09EwE0CqkOc4q9oUmW1yo/edit?usp=sharing"",""อุตรดิตถ์!L244"")"),257760)</f>
        <v>257760</v>
      </c>
      <c r="M349" s="372"/>
      <c r="N349" s="372">
        <f ca="1">IFERROR(__xludf.DUMMYFUNCTION("IMPORTRANGE(""https://docs.google.com/spreadsheets/d/11923uPwbBZFjjGgGUA6NLw09EwE0CqkOc4q9oUmW1yo/edit?usp=sharing"",""อุตรดิตถ์!M244"")"),152326)</f>
        <v>152326</v>
      </c>
      <c r="O349" s="372">
        <f ca="1">+IF(L349&gt;0,N349*100/L349,0)</f>
        <v>59.096058348851642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IFERROR(__xludf.DUMMYFUNCTION("IMPORTRANGE(""https://docs.google.com/spreadsheets/d/11923uPwbBZFjjGgGUA6NLw09EwE0CqkOc4q9oUmW1yo/edit?usp=sharing"",""อุตรดิตถ์!I245"")"),30)</f>
        <v>30</v>
      </c>
      <c r="J350" s="370">
        <f ca="1">IFERROR(__xludf.DUMMYFUNCTION("IMPORTRANGE(""https://docs.google.com/spreadsheets/d/11923uPwbBZFjjGgGUA6NLw09EwE0CqkOc4q9oUmW1yo/edit?usp=sharing"",""อุตรดิตถ์!J245"")"),30)</f>
        <v>30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IFERROR(__xludf.DUMMYFUNCTION("IMPORTRANGE(""https://docs.google.com/spreadsheets/d/11923uPwbBZFjjGgGUA6NLw09EwE0CqkOc4q9oUmW1yo/edit?usp=sharing"",""อุตรดิตถ์!L246"")"),0)</f>
        <v>0</v>
      </c>
      <c r="M351" s="164"/>
      <c r="N351" s="164">
        <f ca="1">IFERROR(__xludf.DUMMYFUNCTION("IMPORTRANGE(""https://docs.google.com/spreadsheets/d/11923uPwbBZFjjGgGUA6NLw09EwE0CqkOc4q9oUmW1yo/edit?usp=sharing"",""อุตรดิตถ์!M246"")"),0)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IFERROR(__xludf.DUMMYFUNCTION("IMPORTRANGE(""https://docs.google.com/spreadsheets/d/11923uPwbBZFjjGgGUA6NLw09EwE0CqkOc4q9oUmW1yo/edit?usp=sharing"",""อุตรดิตถ์!L247"")"),257760)</f>
        <v>257760</v>
      </c>
      <c r="M352" s="165"/>
      <c r="N352" s="164">
        <f ca="1">IFERROR(__xludf.DUMMYFUNCTION("IMPORTRANGE(""https://docs.google.com/spreadsheets/d/11923uPwbBZFjjGgGUA6NLw09EwE0CqkOc4q9oUmW1yo/edit?usp=sharing"",""อุตรดิตถ์!M247"")"),152326)</f>
        <v>152326</v>
      </c>
      <c r="O352" s="165">
        <f t="shared" ca="1" si="105"/>
        <v>59.096058348851642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IFERROR(__xludf.DUMMYFUNCTION("IMPORTRANGE(""https://docs.google.com/spreadsheets/d/11923uPwbBZFjjGgGUA6NLw09EwE0CqkOc4q9oUmW1yo/edit?usp=sharing"",""อุตรดิตถ์!L248"")"),0)</f>
        <v>0</v>
      </c>
      <c r="M353" s="168"/>
      <c r="N353" s="168">
        <f ca="1">IFERROR(__xludf.DUMMYFUNCTION("IMPORTRANGE(""https://docs.google.com/spreadsheets/d/11923uPwbBZFjjGgGUA6NLw09EwE0CqkOc4q9oUmW1yo/edit?usp=sharing"",""อุตรดิตถ์!M248"")"),0)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IFERROR(__xludf.DUMMYFUNCTION("IMPORTRANGE(""https://docs.google.com/spreadsheets/d/11923uPwbBZFjjGgGUA6NLw09EwE0CqkOc4q9oUmW1yo/edit?usp=sharing"",""อุตรดิตถ์!L249"")"),257760)</f>
        <v>257760</v>
      </c>
      <c r="M354" s="168"/>
      <c r="N354" s="167">
        <f ca="1">IFERROR(__xludf.DUMMYFUNCTION("IMPORTRANGE(""https://docs.google.com/spreadsheets/d/11923uPwbBZFjjGgGUA6NLw09EwE0CqkOc4q9oUmW1yo/edit?usp=sharing"",""อุตรดิตถ์!M249"")"),152326)</f>
        <v>152326</v>
      </c>
      <c r="O354" s="168">
        <f t="shared" ca="1" si="105"/>
        <v>59.096058348851642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IFERROR(__xludf.DUMMYFUNCTION("IMPORTRANGE(""https://docs.google.com/spreadsheets/d/11923uPwbBZFjjGgGUA6NLw09EwE0CqkOc4q9oUmW1yo/edit?usp=sharing"",""อุตรดิตถ์!M250"")"),52382)</f>
        <v>52382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IFERROR(__xludf.DUMMYFUNCTION("IMPORTRANGE(""https://docs.google.com/spreadsheets/d/11923uPwbBZFjjGgGUA6NLw09EwE0CqkOc4q9oUmW1yo/edit?usp=sharing"",""อุตรดิตถ์!M251"")"),14038)</f>
        <v>14038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IFERROR(__xludf.DUMMYFUNCTION("IMPORTRANGE(""https://docs.google.com/spreadsheets/d/11923uPwbBZFjjGgGUA6NLw09EwE0CqkOc4q9oUmW1yo/edit?usp=sharing"",""อุตรดิตถ์!M252"")"),73361)</f>
        <v>73361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IFERROR(__xludf.DUMMYFUNCTION("IMPORTRANGE(""https://docs.google.com/spreadsheets/d/11923uPwbBZFjjGgGUA6NLw09EwE0CqkOc4q9oUmW1yo/edit?usp=sharing"",""อุตรดิตถ์!M253"")"),12545)</f>
        <v>12545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IFERROR(__xludf.DUMMYFUNCTION("IMPORTRANGE(""https://docs.google.com/spreadsheets/d/11923uPwbBZFjjGgGUA6NLw09EwE0CqkOc4q9oUmW1yo/edit?usp=sharing"",""อุตรดิตถ์!J255"")"),0)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IFERROR(__xludf.DUMMYFUNCTION("IMPORTRANGE(""https://docs.google.com/spreadsheets/d/11923uPwbBZFjjGgGUA6NLw09EwE0CqkOc4q9oUmW1yo/edit?usp=sharing"",""อุตรดิตถ์!J256"")"),1)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IFERROR(__xludf.DUMMYFUNCTION("IMPORTRANGE(""https://docs.google.com/spreadsheets/d/11923uPwbBZFjjGgGUA6NLw09EwE0CqkOc4q9oUmW1yo/edit?usp=sharing"",""อุตรดิตถ์!J257"")"),1)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IFERROR(__xludf.DUMMYFUNCTION("IMPORTRANGE(""https://docs.google.com/spreadsheets/d/11923uPwbBZFjjGgGUA6NLw09EwE0CqkOc4q9oUmW1yo/edit?usp=sharing"",""อุตรดิตถ์!J258"")"),1)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IFERROR(__xludf.DUMMYFUNCTION("IMPORTRANGE(""https://docs.google.com/spreadsheets/d/11923uPwbBZFjjGgGUA6NLw09EwE0CqkOc4q9oUmW1yo/edit?usp=sharing"",""อุตรดิตถ์!J166"")"),0)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IFERROR(__xludf.DUMMYFUNCTION("IMPORTRANGE(""https://docs.google.com/spreadsheets/d/11923uPwbBZFjjGgGUA6NLw09EwE0CqkOc4q9oUmW1yo/edit?usp=sharing"",""อุตรดิตถ์!J166"")"),0)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IFERROR(__xludf.DUMMYFUNCTION("IMPORTRANGE(""https://docs.google.com/spreadsheets/d/11923uPwbBZFjjGgGUA6NLw09EwE0CqkOc4q9oUmW1yo/edit?usp=sharing"",""อุตรดิตถ์!J166"")"),0)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IFERROR(__xludf.DUMMYFUNCTION("IMPORTRANGE(""https://docs.google.com/spreadsheets/d/11923uPwbBZFjjGgGUA6NLw09EwE0CqkOc4q9oUmW1yo/edit?usp=sharing"",""อุตรดิตถ์!J166"")"),0)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IFERROR(__xludf.DUMMYFUNCTION("IMPORTRANGE(""https://docs.google.com/spreadsheets/d/11923uPwbBZFjjGgGUA6NLw09EwE0CqkOc4q9oUmW1yo/edit?usp=sharing"",""อุตรดิตถ์!I263"")"),30)</f>
        <v>30</v>
      </c>
      <c r="J368" s="187">
        <f ca="1">IFERROR(__xludf.DUMMYFUNCTION("IMPORTRANGE(""https://docs.google.com/spreadsheets/d/11923uPwbBZFjjGgGUA6NLw09EwE0CqkOc4q9oUmW1yo/edit?usp=sharing"",""อุตรดิตถ์!J263"")"),30)</f>
        <v>30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IFERROR(__xludf.DUMMYFUNCTION("IMPORTRANGE(""https://docs.google.com/spreadsheets/d/11923uPwbBZFjjGgGUA6NLw09EwE0CqkOc4q9oUmW1yo/edit?usp=sharing"",""อุตรดิตถ์!I164"")"),0)</f>
        <v>0</v>
      </c>
      <c r="J369" s="203">
        <f ca="1">IFERROR(__xludf.DUMMYFUNCTION("IMPORTRANGE(""https://docs.google.com/spreadsheets/d/11923uPwbBZFjjGgGUA6NLw09EwE0CqkOc4q9oUmW1yo/edit?usp=sharing"",""อุตรดิตถ์!J164"")"),0)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IFERROR(__xludf.DUMMYFUNCTION("IMPORTRANGE(""https://docs.google.com/spreadsheets/d/11923uPwbBZFjjGgGUA6NLw09EwE0CqkOc4q9oUmW1yo/edit?usp=sharing"",""อุตรดิตถ์!I265"")"),30)</f>
        <v>30</v>
      </c>
      <c r="J370" s="203">
        <f ca="1">IFERROR(__xludf.DUMMYFUNCTION("IMPORTRANGE(""https://docs.google.com/spreadsheets/d/11923uPwbBZFjjGgGUA6NLw09EwE0CqkOc4q9oUmW1yo/edit?usp=sharing"",""อุตรดิตถ์!J265"")"),30)</f>
        <v>30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IFERROR(__xludf.DUMMYFUNCTION("IMPORTRANGE(""https://docs.google.com/spreadsheets/d/11923uPwbBZFjjGgGUA6NLw09EwE0CqkOc4q9oUmW1yo/edit?usp=sharing"",""อุตรดิตถ์!I164"")"),0)</f>
        <v>0</v>
      </c>
      <c r="J371" s="188">
        <f ca="1">IFERROR(__xludf.DUMMYFUNCTION("IMPORTRANGE(""https://docs.google.com/spreadsheets/d/11923uPwbBZFjjGgGUA6NLw09EwE0CqkOc4q9oUmW1yo/edit?usp=sharing"",""อุตรดิตถ์!J164"")"),0)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IFERROR(__xludf.DUMMYFUNCTION("IMPORTRANGE(""https://docs.google.com/spreadsheets/d/11923uPwbBZFjjGgGUA6NLw09EwE0CqkOc4q9oUmW1yo/edit?usp=sharing"",""อุตรดิตถ์!I267"")"),30)</f>
        <v>30</v>
      </c>
      <c r="J372" s="188">
        <f ca="1">IFERROR(__xludf.DUMMYFUNCTION("IMPORTRANGE(""https://docs.google.com/spreadsheets/d/11923uPwbBZFjjGgGUA6NLw09EwE0CqkOc4q9oUmW1yo/edit?usp=sharing"",""อุตรดิตถ์!J267"")"),30)</f>
        <v>30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IFERROR(__xludf.DUMMYFUNCTION("IMPORTRANGE(""https://docs.google.com/spreadsheets/d/11923uPwbBZFjjGgGUA6NLw09EwE0CqkOc4q9oUmW1yo/edit?usp=sharing"",""อุตรดิตถ์!I164"")"),0)</f>
        <v>0</v>
      </c>
      <c r="J373" s="203">
        <f ca="1">IFERROR(__xludf.DUMMYFUNCTION("IMPORTRANGE(""https://docs.google.com/spreadsheets/d/11923uPwbBZFjjGgGUA6NLw09EwE0CqkOc4q9oUmW1yo/edit?usp=sharing"",""อุตรดิตถ์!J164"")"),0)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IFERROR(__xludf.DUMMYFUNCTION("IMPORTRANGE(""https://docs.google.com/spreadsheets/d/11923uPwbBZFjjGgGUA6NLw09EwE0CqkOc4q9oUmW1yo/edit?usp=sharing"",""อุตรดิตถ์!I164"")"),0)</f>
        <v>0</v>
      </c>
      <c r="J374" s="187">
        <f ca="1">IFERROR(__xludf.DUMMYFUNCTION("IMPORTRANGE(""https://docs.google.com/spreadsheets/d/11923uPwbBZFjjGgGUA6NLw09EwE0CqkOc4q9oUmW1yo/edit?usp=sharing"",""อุตรดิตถ์!J164"")"),0)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IFERROR(__xludf.DUMMYFUNCTION("IMPORTRANGE(""https://docs.google.com/spreadsheets/d/11923uPwbBZFjjGgGUA6NLw09EwE0CqkOc4q9oUmW1yo/edit?usp=sharing"",""อุตรดิตถ์!I270"")"),30)</f>
        <v>30</v>
      </c>
      <c r="J375" s="187">
        <f ca="1">IFERROR(__xludf.DUMMYFUNCTION("IMPORTRANGE(""https://docs.google.com/spreadsheets/d/11923uPwbBZFjjGgGUA6NLw09EwE0CqkOc4q9oUmW1yo/edit?usp=sharing"",""อุตรดิตถ์!J270"")"),30)</f>
        <v>30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IFERROR(__xludf.DUMMYFUNCTION("IMPORTRANGE(""https://docs.google.com/spreadsheets/d/11923uPwbBZFjjGgGUA6NLw09EwE0CqkOc4q9oUmW1yo/edit?usp=sharing"",""อุตรดิตถ์!I271"")"),20)</f>
        <v>20</v>
      </c>
      <c r="J376" s="188">
        <f ca="1">IFERROR(__xludf.DUMMYFUNCTION("IMPORTRANGE(""https://docs.google.com/spreadsheets/d/11923uPwbBZFjjGgGUA6NLw09EwE0CqkOc4q9oUmW1yo/edit?usp=sharing"",""อุตรดิตถ์!J271"")"),20)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IFERROR(__xludf.DUMMYFUNCTION("IMPORTRANGE(""https://docs.google.com/spreadsheets/d/11923uPwbBZFjjGgGUA6NLw09EwE0CqkOc4q9oUmW1yo/edit?usp=sharing"",""อุตรดิตถ์!I272"")"),10)</f>
        <v>10</v>
      </c>
      <c r="J377" s="203">
        <f ca="1">IFERROR(__xludf.DUMMYFUNCTION("IMPORTRANGE(""https://docs.google.com/spreadsheets/d/11923uPwbBZFjjGgGUA6NLw09EwE0CqkOc4q9oUmW1yo/edit?usp=sharing"",""อุตรดิตถ์!J272"")"),10)</f>
        <v>10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IFERROR(__xludf.DUMMYFUNCTION("IMPORTRANGE(""https://docs.google.com/spreadsheets/d/11923uPwbBZFjjGgGUA6NLw09EwE0CqkOc4q9oUmW1yo/edit?usp=sharing"",""อุตรดิตถ์!J273"")"),0)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IFERROR(__xludf.DUMMYFUNCTION("IMPORTRANGE(""https://docs.google.com/spreadsheets/d/11923uPwbBZFjjGgGUA6NLw09EwE0CqkOc4q9oUmW1yo/edit?usp=sharing"",""อุตรดิตถ์!J274"")"),0)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IFERROR(__xludf.DUMMYFUNCTION("IMPORTRANGE(""https://docs.google.com/spreadsheets/d/11923uPwbBZFjjGgGUA6NLw09EwE0CqkOc4q9oUmW1yo/edit?usp=sharing"",""อุตรดิตถ์!I275"")"),1000)</f>
        <v>1000</v>
      </c>
      <c r="J380" s="370">
        <f ca="1">IFERROR(__xludf.DUMMYFUNCTION("IMPORTRANGE(""https://docs.google.com/spreadsheets/d/11923uPwbBZFjjGgGUA6NLw09EwE0CqkOc4q9oUmW1yo/edit?usp=sharing"",""อุตรดิตถ์!J275"")"),0)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IFERROR(__xludf.DUMMYFUNCTION("IMPORTRANGE(""https://docs.google.com/spreadsheets/d/11923uPwbBZFjjGgGUA6NLw09EwE0CqkOc4q9oUmW1yo/edit?usp=sharing"",""อุตรดิตถ์!L275"")"),1028520)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IFERROR(__xludf.DUMMYFUNCTION("IMPORTRANGE(""https://docs.google.com/spreadsheets/d/11923uPwbBZFjjGgGUA6NLw09EwE0CqkOc4q9oUmW1yo/edit?usp=sharing"",""อุตรดิตถ์!M275"")"),291030.8)</f>
        <v>291030.8</v>
      </c>
      <c r="O380" s="372">
        <f ca="1">+IF(L380&gt;0,N380*100/L380,0)</f>
        <v>28.296075914906858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IFERROR(__xludf.DUMMYFUNCTION("IMPORTRANGE(""https://docs.google.com/spreadsheets/d/11923uPwbBZFjjGgGUA6NLw09EwE0CqkOc4q9oUmW1yo/edit?usp=sharing"",""อุตรดิตถ์!I276"")"),100)</f>
        <v>100</v>
      </c>
      <c r="J381" s="370">
        <f ca="1">IFERROR(__xludf.DUMMYFUNCTION("IMPORTRANGE(""https://docs.google.com/spreadsheets/d/11923uPwbBZFjjGgGUA6NLw09EwE0CqkOc4q9oUmW1yo/edit?usp=sharing"",""อุตรดิตถ์!J276"")"),100)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IFERROR(__xludf.DUMMYFUNCTION("IMPORTRANGE(""https://docs.google.com/spreadsheets/d/11923uPwbBZFjjGgGUA6NLw09EwE0CqkOc4q9oUmW1yo/edit?usp=sharing"",""อุตรดิตถ์!L277"")"),0)</f>
        <v>0</v>
      </c>
      <c r="M382" s="164"/>
      <c r="N382" s="164">
        <f ca="1">IFERROR(__xludf.DUMMYFUNCTION("IMPORTRANGE(""https://docs.google.com/spreadsheets/d/11923uPwbBZFjjGgGUA6NLw09EwE0CqkOc4q9oUmW1yo/edit?usp=sharing"",""อุตรดิตถ์!M277"")"),0)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IFERROR(__xludf.DUMMYFUNCTION("IMPORTRANGE(""https://docs.google.com/spreadsheets/d/11923uPwbBZFjjGgGUA6NLw09EwE0CqkOc4q9oUmW1yo/edit?usp=sharing"",""อุตรดิตถ์!L278"")"),1028520)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IFERROR(__xludf.DUMMYFUNCTION("IMPORTRANGE(""https://docs.google.com/spreadsheets/d/11923uPwbBZFjjGgGUA6NLw09EwE0CqkOc4q9oUmW1yo/edit?usp=sharing"",""อุตรดิตถ์!M278"")"),291030.8)</f>
        <v>291030.8</v>
      </c>
      <c r="O383" s="165">
        <f t="shared" ca="1" si="109"/>
        <v>28.296075914906858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IFERROR(__xludf.DUMMYFUNCTION("IMPORTRANGE(""https://docs.google.com/spreadsheets/d/11923uPwbBZFjjGgGUA6NLw09EwE0CqkOc4q9oUmW1yo/edit?usp=sharing"",""อุตรดิตถ์!L279"")"),0)</f>
        <v>0</v>
      </c>
      <c r="M384" s="168"/>
      <c r="N384" s="168">
        <f ca="1">IFERROR(__xludf.DUMMYFUNCTION("IMPORTRANGE(""https://docs.google.com/spreadsheets/d/11923uPwbBZFjjGgGUA6NLw09EwE0CqkOc4q9oUmW1yo/edit?usp=sharing"",""อุตรดิตถ์!M279"")"),0)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IFERROR(__xludf.DUMMYFUNCTION("IMPORTRANGE(""https://docs.google.com/spreadsheets/d/11923uPwbBZFjjGgGUA6NLw09EwE0CqkOc4q9oUmW1yo/edit?usp=sharing"",""อุตรดิตถ์!L280"")"),1028520)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IFERROR(__xludf.DUMMYFUNCTION("IMPORTRANGE(""https://docs.google.com/spreadsheets/d/11923uPwbBZFjjGgGUA6NLw09EwE0CqkOc4q9oUmW1yo/edit?usp=sharing"",""อุตรดิตถ์!M280"")"),291030.8)</f>
        <v>291030.8</v>
      </c>
      <c r="O385" s="168">
        <f t="shared" ca="1" si="109"/>
        <v>28.296075914906858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IFERROR(__xludf.DUMMYFUNCTION("IMPORTRANGE(""https://docs.google.com/spreadsheets/d/11923uPwbBZFjjGgGUA6NLw09EwE0CqkOc4q9oUmW1yo/edit?usp=sharing"",""อุตรดิตถ์!M281"")"),186203)</f>
        <v>186203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IFERROR(__xludf.DUMMYFUNCTION("IMPORTRANGE(""https://docs.google.com/spreadsheets/d/11923uPwbBZFjjGgGUA6NLw09EwE0CqkOc4q9oUmW1yo/edit?usp=sharing"",""อุตรดิตถ์!M282"")"),0)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IFERROR(__xludf.DUMMYFUNCTION("IMPORTRANGE(""https://docs.google.com/spreadsheets/d/11923uPwbBZFjjGgGUA6NLw09EwE0CqkOc4q9oUmW1yo/edit?usp=sharing"",""อุตรดิตถ์!M283"")"),79588)</f>
        <v>79588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IFERROR(__xludf.DUMMYFUNCTION("IMPORTRANGE(""https://docs.google.com/spreadsheets/d/11923uPwbBZFjjGgGUA6NLw09EwE0CqkOc4q9oUmW1yo/edit?usp=sharing"",""อุตรดิตถ์!M284"")"),25239.8)</f>
        <v>25239.8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IFERROR(__xludf.DUMMYFUNCTION("IMPORTRANGE(""https://docs.google.com/spreadsheets/d/11923uPwbBZFjjGgGUA6NLw09EwE0CqkOc4q9oUmW1yo/edit?usp=sharing"",""อุตรดิตถ์!J286"")"),0)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IFERROR(__xludf.DUMMYFUNCTION("IMPORTRANGE(""https://docs.google.com/spreadsheets/d/11923uPwbBZFjjGgGUA6NLw09EwE0CqkOc4q9oUmW1yo/edit?usp=sharing"",""อุตรดิตถ์!J287"")"),1)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IFERROR(__xludf.DUMMYFUNCTION("IMPORTRANGE(""https://docs.google.com/spreadsheets/d/11923uPwbBZFjjGgGUA6NLw09EwE0CqkOc4q9oUmW1yo/edit?usp=sharing"",""อุตรดิตถ์!J288"")"),1)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IFERROR(__xludf.DUMMYFUNCTION("IMPORTRANGE(""https://docs.google.com/spreadsheets/d/11923uPwbBZFjjGgGUA6NLw09EwE0CqkOc4q9oUmW1yo/edit?usp=sharing"",""อุตรดิตถ์!J289"")"),1)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IFERROR(__xludf.DUMMYFUNCTION("IMPORTRANGE(""https://docs.google.com/spreadsheets/d/11923uPwbBZFjjGgGUA6NLw09EwE0CqkOc4q9oUmW1yo/edit?usp=sharing"",""อุตรดิตถ์!I291"")"),100)</f>
        <v>100</v>
      </c>
      <c r="J396" s="197">
        <f ca="1">IFERROR(__xludf.DUMMYFUNCTION("IMPORTRANGE(""https://docs.google.com/spreadsheets/d/11923uPwbBZFjjGgGUA6NLw09EwE0CqkOc4q9oUmW1yo/edit?usp=sharing"",""อุตรดิตถ์!J291"")"),100)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IFERROR(__xludf.DUMMYFUNCTION("IMPORTRANGE(""https://docs.google.com/spreadsheets/d/11923uPwbBZFjjGgGUA6NLw09EwE0CqkOc4q9oUmW1yo/edit?usp=sharing"",""อุตรดิตถ์!I292"")"),1000)</f>
        <v>1000</v>
      </c>
      <c r="J397" s="197">
        <f ca="1">IFERROR(__xludf.DUMMYFUNCTION("IMPORTRANGE(""https://docs.google.com/spreadsheets/d/11923uPwbBZFjjGgGUA6NLw09EwE0CqkOc4q9oUmW1yo/edit?usp=sharing"",""อุตรดิตถ์!J292"")"),0)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IFERROR(__xludf.DUMMYFUNCTION("IMPORTRANGE(""https://docs.google.com/spreadsheets/d/11923uPwbBZFjjGgGUA6NLw09EwE0CqkOc4q9oUmW1yo/edit?usp=sharing"",""อุตรดิตถ์!I293"")"),100)</f>
        <v>100</v>
      </c>
      <c r="J398" s="197">
        <f ca="1">IFERROR(__xludf.DUMMYFUNCTION("IMPORTRANGE(""https://docs.google.com/spreadsheets/d/11923uPwbBZFjjGgGUA6NLw09EwE0CqkOc4q9oUmW1yo/edit?usp=sharing"",""อุตรดิตถ์!J293"")"),0)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IFERROR(__xludf.DUMMYFUNCTION("IMPORTRANGE(""https://docs.google.com/spreadsheets/d/11923uPwbBZFjjGgGUA6NLw09EwE0CqkOc4q9oUmW1yo/edit?usp=sharing"",""อุตรดิตถ์!J294"")"),0)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IFERROR(__xludf.DUMMYFUNCTION("IMPORTRANGE(""https://docs.google.com/spreadsheets/d/11923uPwbBZFjjGgGUA6NLw09EwE0CqkOc4q9oUmW1yo/edit?usp=sharing"",""อุตรดิตถ์!J295"")"),0)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IFERROR(__xludf.DUMMYFUNCTION("IMPORTRANGE(""https://docs.google.com/spreadsheets/d/11923uPwbBZFjjGgGUA6NLw09EwE0CqkOc4q9oUmW1yo/edit?usp=sharing"",""อุตรดิตถ์!I296"")"),135)</f>
        <v>135</v>
      </c>
      <c r="J401" s="370">
        <f ca="1">IFERROR(__xludf.DUMMYFUNCTION("IMPORTRANGE(""https://docs.google.com/spreadsheets/d/11923uPwbBZFjjGgGUA6NLw09EwE0CqkOc4q9oUmW1yo/edit?usp=sharing"",""อุตรดิตถ์!J296"")"),135)</f>
        <v>135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IFERROR(__xludf.DUMMYFUNCTION("IMPORTRANGE(""https://docs.google.com/spreadsheets/d/11923uPwbBZFjjGgGUA6NLw09EwE0CqkOc4q9oUmW1yo/edit?usp=sharing"",""อุตรดิตถ์!L296"")"),159950)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IFERROR(__xludf.DUMMYFUNCTION("IMPORTRANGE(""https://docs.google.com/spreadsheets/d/11923uPwbBZFjjGgGUA6NLw09EwE0CqkOc4q9oUmW1yo/edit?usp=sharing"",""อุตรดิตถ์!M296"")"),132155.5)</f>
        <v>132155.5</v>
      </c>
      <c r="O401" s="372">
        <f ca="1">+IF(L401&gt;0,N401*100/L401,0)</f>
        <v>82.623007189746801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IFERROR(__xludf.DUMMYFUNCTION("IMPORTRANGE(""https://docs.google.com/spreadsheets/d/11923uPwbBZFjjGgGUA6NLw09EwE0CqkOc4q9oUmW1yo/edit?usp=sharing"",""อุตรดิตถ์!I297"")"),45)</f>
        <v>45</v>
      </c>
      <c r="J402" s="370">
        <f ca="1">IFERROR(__xludf.DUMMYFUNCTION("IMPORTRANGE(""https://docs.google.com/spreadsheets/d/11923uPwbBZFjjGgGUA6NLw09EwE0CqkOc4q9oUmW1yo/edit?usp=sharing"",""อุตรดิตถ์!J297"")"),45)</f>
        <v>45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IFERROR(__xludf.DUMMYFUNCTION("IMPORTRANGE(""https://docs.google.com/spreadsheets/d/11923uPwbBZFjjGgGUA6NLw09EwE0CqkOc4q9oUmW1yo/edit?usp=sharing"",""อุตรดิตถ์!L298"")"),0)</f>
        <v>0</v>
      </c>
      <c r="M403" s="164"/>
      <c r="N403" s="168">
        <f ca="1">IFERROR(__xludf.DUMMYFUNCTION("IMPORTRANGE(""https://docs.google.com/spreadsheets/d/11923uPwbBZFjjGgGUA6NLw09EwE0CqkOc4q9oUmW1yo/edit?usp=sharing"",""อุตรดิตถ์!M298"")"),0)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IFERROR(__xludf.DUMMYFUNCTION("IMPORTRANGE(""https://docs.google.com/spreadsheets/d/11923uPwbBZFjjGgGUA6NLw09EwE0CqkOc4q9oUmW1yo/edit?usp=sharing"",""อุตรดิตถ์!L299"")"),159950)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IFERROR(__xludf.DUMMYFUNCTION("IMPORTRANGE(""https://docs.google.com/spreadsheets/d/11923uPwbBZFjjGgGUA6NLw09EwE0CqkOc4q9oUmW1yo/edit?usp=sharing"",""อุตรดิตถ์!M299"")"),132155.5)</f>
        <v>132155.5</v>
      </c>
      <c r="O404" s="168">
        <f t="shared" ca="1" si="112"/>
        <v>82.623007189746801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IFERROR(__xludf.DUMMYFUNCTION("IMPORTRANGE(""https://docs.google.com/spreadsheets/d/11923uPwbBZFjjGgGUA6NLw09EwE0CqkOc4q9oUmW1yo/edit?usp=sharing"",""อุตรดิตถ์!L300"")"),0)</f>
        <v>0</v>
      </c>
      <c r="M405" s="168"/>
      <c r="N405" s="168">
        <f ca="1">IFERROR(__xludf.DUMMYFUNCTION("IMPORTRANGE(""https://docs.google.com/spreadsheets/d/11923uPwbBZFjjGgGUA6NLw09EwE0CqkOc4q9oUmW1yo/edit?usp=sharing"",""อุตรดิตถ์!M300"")"),0)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IFERROR(__xludf.DUMMYFUNCTION("IMPORTRANGE(""https://docs.google.com/spreadsheets/d/11923uPwbBZFjjGgGUA6NLw09EwE0CqkOc4q9oUmW1yo/edit?usp=sharing"",""อุตรดิตถ์!L301"")"),159950)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IFERROR(__xludf.DUMMYFUNCTION("IMPORTRANGE(""https://docs.google.com/spreadsheets/d/11923uPwbBZFjjGgGUA6NLw09EwE0CqkOc4q9oUmW1yo/edit?usp=sharing"",""อุตรดิตถ์!M301"")"),132155.5)</f>
        <v>132155.5</v>
      </c>
      <c r="O406" s="168">
        <f t="shared" ca="1" si="112"/>
        <v>82.623007189746801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IFERROR(__xludf.DUMMYFUNCTION("IMPORTRANGE(""https://docs.google.com/spreadsheets/d/11923uPwbBZFjjGgGUA6NLw09EwE0CqkOc4q9oUmW1yo/edit?usp=sharing"",""อุตรดิตถ์!M302"")"),88756)</f>
        <v>88756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IFERROR(__xludf.DUMMYFUNCTION("IMPORTRANGE(""https://docs.google.com/spreadsheets/d/11923uPwbBZFjjGgGUA6NLw09EwE0CqkOc4q9oUmW1yo/edit?usp=sharing"",""อุตรดิตถ์!M303"")"),32500)</f>
        <v>32500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IFERROR(__xludf.DUMMYFUNCTION("IMPORTRANGE(""https://docs.google.com/spreadsheets/d/11923uPwbBZFjjGgGUA6NLw09EwE0CqkOc4q9oUmW1yo/edit?usp=sharing"",""อุตรดิตถ์!M304"")"),0)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IFERROR(__xludf.DUMMYFUNCTION("IMPORTRANGE(""https://docs.google.com/spreadsheets/d/11923uPwbBZFjjGgGUA6NLw09EwE0CqkOc4q9oUmW1yo/edit?usp=sharing"",""อุตรดิตถ์!M305"")"),10899.5)</f>
        <v>10899.5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IFERROR(__xludf.DUMMYFUNCTION("IMPORTRANGE(""https://docs.google.com/spreadsheets/d/11923uPwbBZFjjGgGUA6NLw09EwE0CqkOc4q9oUmW1yo/edit?usp=sharing"",""อุตรดิตถ์!J307"")"),0)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IFERROR(__xludf.DUMMYFUNCTION("IMPORTRANGE(""https://docs.google.com/spreadsheets/d/11923uPwbBZFjjGgGUA6NLw09EwE0CqkOc4q9oUmW1yo/edit?usp=sharing"",""อุตรดิตถ์!J308"")"),1)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IFERROR(__xludf.DUMMYFUNCTION("IMPORTRANGE(""https://docs.google.com/spreadsheets/d/11923uPwbBZFjjGgGUA6NLw09EwE0CqkOc4q9oUmW1yo/edit?usp=sharing"",""อุตรดิตถ์!J309"")"),1)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IFERROR(__xludf.DUMMYFUNCTION("IMPORTRANGE(""https://docs.google.com/spreadsheets/d/11923uPwbBZFjjGgGUA6NLw09EwE0CqkOc4q9oUmW1yo/edit?usp=sharing"",""อุตรดิตถ์!J310"")"),1)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IFERROR(__xludf.DUMMYFUNCTION("IMPORTRANGE(""https://docs.google.com/spreadsheets/d/11923uPwbBZFjjGgGUA6NLw09EwE0CqkOc4q9oUmW1yo/edit?usp=sharing"",""อุตรดิตถ์!I311"")"),45)</f>
        <v>45</v>
      </c>
      <c r="J416" s="200">
        <f ca="1">IFERROR(__xludf.DUMMYFUNCTION("IMPORTRANGE(""https://docs.google.com/spreadsheets/d/11923uPwbBZFjjGgGUA6NLw09EwE0CqkOc4q9oUmW1yo/edit?usp=sharing"",""อุตรดิตถ์!J311"")"),45)</f>
        <v>45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IFERROR(__xludf.DUMMYFUNCTION("IMPORTRANGE(""https://docs.google.com/spreadsheets/d/11923uPwbBZFjjGgGUA6NLw09EwE0CqkOc4q9oUmW1yo/edit?usp=sharing"",""อุตรดิตถ์!I312"")"),10)</f>
        <v>10</v>
      </c>
      <c r="J417" s="391">
        <f ca="1">IFERROR(__xludf.DUMMYFUNCTION("IMPORTRANGE(""https://docs.google.com/spreadsheets/d/11923uPwbBZFjjGgGUA6NLw09EwE0CqkOc4q9oUmW1yo/edit?usp=sharing"",""อุตรดิตถ์!J312"")"),10)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IFERROR(__xludf.DUMMYFUNCTION("IMPORTRANGE(""https://docs.google.com/spreadsheets/d/11923uPwbBZFjjGgGUA6NLw09EwE0CqkOc4q9oUmW1yo/edit?usp=sharing"",""อุตรดิตถ์!I313"")"),30)</f>
        <v>30</v>
      </c>
      <c r="J418" s="392">
        <f ca="1">IFERROR(__xludf.DUMMYFUNCTION("IMPORTRANGE(""https://docs.google.com/spreadsheets/d/11923uPwbBZFjjGgGUA6NLw09EwE0CqkOc4q9oUmW1yo/edit?usp=sharing"",""อุตรดิตถ์!J313"")"),30)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IFERROR(__xludf.DUMMYFUNCTION("IMPORTRANGE(""https://docs.google.com/spreadsheets/d/11923uPwbBZFjjGgGUA6NLw09EwE0CqkOc4q9oUmW1yo/edit?usp=sharing"",""อุตรดิตถ์!I314"")"),10)</f>
        <v>10</v>
      </c>
      <c r="J419" s="393">
        <f ca="1">IFERROR(__xludf.DUMMYFUNCTION("IMPORTRANGE(""https://docs.google.com/spreadsheets/d/11923uPwbBZFjjGgGUA6NLw09EwE0CqkOc4q9oUmW1yo/edit?usp=sharing"",""อุตรดิตถ์!J314"")"),10)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IFERROR(__xludf.DUMMYFUNCTION("IMPORTRANGE(""https://docs.google.com/spreadsheets/d/11923uPwbBZFjjGgGUA6NLw09EwE0CqkOc4q9oUmW1yo/edit?usp=sharing"",""อุตรดิตถ์!I315"")"),10)</f>
        <v>10</v>
      </c>
      <c r="J420" s="393">
        <f ca="1">IFERROR(__xludf.DUMMYFUNCTION("IMPORTRANGE(""https://docs.google.com/spreadsheets/d/11923uPwbBZFjjGgGUA6NLw09EwE0CqkOc4q9oUmW1yo/edit?usp=sharing"",""อุตรดิตถ์!J315"")"),10)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IFERROR(__xludf.DUMMYFUNCTION("IMPORTRANGE(""https://docs.google.com/spreadsheets/d/11923uPwbBZFjjGgGUA6NLw09EwE0CqkOc4q9oUmW1yo/edit?usp=sharing"",""อุตรดิตถ์!I316"")"),25)</f>
        <v>25</v>
      </c>
      <c r="J421" s="391">
        <f ca="1">IFERROR(__xludf.DUMMYFUNCTION("IMPORTRANGE(""https://docs.google.com/spreadsheets/d/11923uPwbBZFjjGgGUA6NLw09EwE0CqkOc4q9oUmW1yo/edit?usp=sharing"",""อุตรดิตถ์!J316"")"),25)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IFERROR(__xludf.DUMMYFUNCTION("IMPORTRANGE(""https://docs.google.com/spreadsheets/d/11923uPwbBZFjjGgGUA6NLw09EwE0CqkOc4q9oUmW1yo/edit?usp=sharing"",""อุตรดิตถ์!I317"")"),75)</f>
        <v>75</v>
      </c>
      <c r="J422" s="392">
        <f ca="1">IFERROR(__xludf.DUMMYFUNCTION("IMPORTRANGE(""https://docs.google.com/spreadsheets/d/11923uPwbBZFjjGgGUA6NLw09EwE0CqkOc4q9oUmW1yo/edit?usp=sharing"",""อุตรดิตถ์!J317"")"),75)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IFERROR(__xludf.DUMMYFUNCTION("IMPORTRANGE(""https://docs.google.com/spreadsheets/d/11923uPwbBZFjjGgGUA6NLw09EwE0CqkOc4q9oUmW1yo/edit?usp=sharing"",""อุตรดิตถ์!I318"")"),25)</f>
        <v>25</v>
      </c>
      <c r="J423" s="393">
        <f ca="1">IFERROR(__xludf.DUMMYFUNCTION("IMPORTRANGE(""https://docs.google.com/spreadsheets/d/11923uPwbBZFjjGgGUA6NLw09EwE0CqkOc4q9oUmW1yo/edit?usp=sharing"",""อุตรดิตถ์!J318"")"),25)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IFERROR(__xludf.DUMMYFUNCTION("IMPORTRANGE(""https://docs.google.com/spreadsheets/d/11923uPwbBZFjjGgGUA6NLw09EwE0CqkOc4q9oUmW1yo/edit?usp=sharing"",""อุตรดิตถ์!I319"")"),25)</f>
        <v>25</v>
      </c>
      <c r="J424" s="393">
        <f ca="1">IFERROR(__xludf.DUMMYFUNCTION("IMPORTRANGE(""https://docs.google.com/spreadsheets/d/11923uPwbBZFjjGgGUA6NLw09EwE0CqkOc4q9oUmW1yo/edit?usp=sharing"",""อุตรดิตถ์!J319"")"),25)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IFERROR(__xludf.DUMMYFUNCTION("IMPORTRANGE(""https://docs.google.com/spreadsheets/d/11923uPwbBZFjjGgGUA6NLw09EwE0CqkOc4q9oUmW1yo/edit?usp=sharing"",""อุตรดิตถ์!I320"")"),25)</f>
        <v>25</v>
      </c>
      <c r="J425" s="393">
        <f ca="1">IFERROR(__xludf.DUMMYFUNCTION("IMPORTRANGE(""https://docs.google.com/spreadsheets/d/11923uPwbBZFjjGgGUA6NLw09EwE0CqkOc4q9oUmW1yo/edit?usp=sharing"",""อุตรดิตถ์!J320"")"),25)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IFERROR(__xludf.DUMMYFUNCTION("IMPORTRANGE(""https://docs.google.com/spreadsheets/d/11923uPwbBZFjjGgGUA6NLw09EwE0CqkOc4q9oUmW1yo/edit?usp=sharing"",""อุตรดิตถ์!I321"")"),10)</f>
        <v>10</v>
      </c>
      <c r="J426" s="391">
        <f ca="1">IFERROR(__xludf.DUMMYFUNCTION("IMPORTRANGE(""https://docs.google.com/spreadsheets/d/11923uPwbBZFjjGgGUA6NLw09EwE0CqkOc4q9oUmW1yo/edit?usp=sharing"",""อุตรดิตถ์!J321"")"),10)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IFERROR(__xludf.DUMMYFUNCTION("IMPORTRANGE(""https://docs.google.com/spreadsheets/d/11923uPwbBZFjjGgGUA6NLw09EwE0CqkOc4q9oUmW1yo/edit?usp=sharing"",""อุตรดิตถ์!I322"")"),30)</f>
        <v>30</v>
      </c>
      <c r="J427" s="392">
        <f ca="1">IFERROR(__xludf.DUMMYFUNCTION("IMPORTRANGE(""https://docs.google.com/spreadsheets/d/11923uPwbBZFjjGgGUA6NLw09EwE0CqkOc4q9oUmW1yo/edit?usp=sharing"",""อุตรดิตถ์!J322"")"),30)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IFERROR(__xludf.DUMMYFUNCTION("IMPORTRANGE(""https://docs.google.com/spreadsheets/d/11923uPwbBZFjjGgGUA6NLw09EwE0CqkOc4q9oUmW1yo/edit?usp=sharing"",""อุตรดิตถ์!I323"")"),10)</f>
        <v>10</v>
      </c>
      <c r="J428" s="393">
        <f ca="1">IFERROR(__xludf.DUMMYFUNCTION("IMPORTRANGE(""https://docs.google.com/spreadsheets/d/11923uPwbBZFjjGgGUA6NLw09EwE0CqkOc4q9oUmW1yo/edit?usp=sharing"",""อุตรดิตถ์!J323"")"),10)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IFERROR(__xludf.DUMMYFUNCTION("IMPORTRANGE(""https://docs.google.com/spreadsheets/d/11923uPwbBZFjjGgGUA6NLw09EwE0CqkOc4q9oUmW1yo/edit?usp=sharing"",""อุตรดิตถ์!I324"")"),10)</f>
        <v>10</v>
      </c>
      <c r="J429" s="393">
        <f ca="1">IFERROR(__xludf.DUMMYFUNCTION("IMPORTRANGE(""https://docs.google.com/spreadsheets/d/11923uPwbBZFjjGgGUA6NLw09EwE0CqkOc4q9oUmW1yo/edit?usp=sharing"",""อุตรดิตถ์!J324"")"),10)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IFERROR(__xludf.DUMMYFUNCTION("IMPORTRANGE(""https://docs.google.com/spreadsheets/d/11923uPwbBZFjjGgGUA6NLw09EwE0CqkOc4q9oUmW1yo/edit?usp=sharing"",""อุตรดิตถ์!I325"")"),35)</f>
        <v>35</v>
      </c>
      <c r="J430" s="391">
        <f ca="1">IFERROR(__xludf.DUMMYFUNCTION("IMPORTRANGE(""https://docs.google.com/spreadsheets/d/11923uPwbBZFjjGgGUA6NLw09EwE0CqkOc4q9oUmW1yo/edit?usp=sharing"",""อุตรดิตถ์!J325"")"),35)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IFERROR(__xludf.DUMMYFUNCTION("IMPORTRANGE(""https://docs.google.com/spreadsheets/d/11923uPwbBZFjjGgGUA6NLw09EwE0CqkOc4q9oUmW1yo/edit?usp=sharing"",""อุตรดิตถ์!I326"")"),10)</f>
        <v>10</v>
      </c>
      <c r="J431" s="393">
        <f ca="1">IFERROR(__xludf.DUMMYFUNCTION("IMPORTRANGE(""https://docs.google.com/spreadsheets/d/11923uPwbBZFjjGgGUA6NLw09EwE0CqkOc4q9oUmW1yo/edit?usp=sharing"",""อุตรดิตถ์!J326"")"),10)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IFERROR(__xludf.DUMMYFUNCTION("IMPORTRANGE(""https://docs.google.com/spreadsheets/d/11923uPwbBZFjjGgGUA6NLw09EwE0CqkOc4q9oUmW1yo/edit?usp=sharing"",""อุตรดิตถ์!I327"")"),25)</f>
        <v>25</v>
      </c>
      <c r="J432" s="393">
        <f ca="1">IFERROR(__xludf.DUMMYFUNCTION("IMPORTRANGE(""https://docs.google.com/spreadsheets/d/11923uPwbBZFjjGgGUA6NLw09EwE0CqkOc4q9oUmW1yo/edit?usp=sharing"",""อุตรดิตถ์!J327"")"),25)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IFERROR(__xludf.DUMMYFUNCTION("IMPORTRANGE(""https://docs.google.com/spreadsheets/d/11923uPwbBZFjjGgGUA6NLw09EwE0CqkOc4q9oUmW1yo/edit?usp=sharing"",""อุตรดิตถ์!J328"")"),0)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IFERROR(__xludf.DUMMYFUNCTION("IMPORTRANGE(""https://docs.google.com/spreadsheets/d/11923uPwbBZFjjGgGUA6NLw09EwE0CqkOc4q9oUmW1yo/edit?usp=sharing"",""อุตรดิตถ์!J329"")"),0)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IFERROR(__xludf.DUMMYFUNCTION("IMPORTRANGE(""https://docs.google.com/spreadsheets/d/11923uPwbBZFjjGgGUA6NLw09EwE0CqkOc4q9oUmW1yo/edit?usp=sharing"",""อุตรดิตถ์!I330"")"),20)</f>
        <v>20</v>
      </c>
      <c r="J435" s="409">
        <f ca="1">IFERROR(__xludf.DUMMYFUNCTION("IMPORTRANGE(""https://docs.google.com/spreadsheets/d/11923uPwbBZFjjGgGUA6NLw09EwE0CqkOc4q9oUmW1yo/edit?usp=sharing"",""อุตรดิตถ์!J330"")"),20)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IFERROR(__xludf.DUMMYFUNCTION("IMPORTRANGE(""https://docs.google.com/spreadsheets/d/11923uPwbBZFjjGgGUA6NLw09EwE0CqkOc4q9oUmW1yo/edit?usp=sharing"",""อุตรดิตถ์!L330"")"),100000)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IFERROR(__xludf.DUMMYFUNCTION("IMPORTRANGE(""https://docs.google.com/spreadsheets/d/11923uPwbBZFjjGgGUA6NLw09EwE0CqkOc4q9oUmW1yo/edit?usp=sharing"",""อุตรดิตถ์!M330"")"),68096.9)</f>
        <v>68096.899999999994</v>
      </c>
      <c r="O435" s="411">
        <f t="shared" ref="O435:O439" ca="1" si="114">+IF(L435&gt;0,N435*100/L435,0)</f>
        <v>68.096899999999991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IFERROR(__xludf.DUMMYFUNCTION("IMPORTRANGE(""https://docs.google.com/spreadsheets/d/11923uPwbBZFjjGgGUA6NLw09EwE0CqkOc4q9oUmW1yo/edit?usp=sharing"",""อุตรดิตถ์!L331"")"),0)</f>
        <v>0</v>
      </c>
      <c r="M436" s="164"/>
      <c r="N436" s="168">
        <f ca="1">IFERROR(__xludf.DUMMYFUNCTION("IMPORTRANGE(""https://docs.google.com/spreadsheets/d/11923uPwbBZFjjGgGUA6NLw09EwE0CqkOc4q9oUmW1yo/edit?usp=sharing"",""อุตรดิตถ์!M331"")"),0)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IFERROR(__xludf.DUMMYFUNCTION("IMPORTRANGE(""https://docs.google.com/spreadsheets/d/11923uPwbBZFjjGgGUA6NLw09EwE0CqkOc4q9oUmW1yo/edit?usp=sharing"",""อุตรดิตถ์!L332"")"),100000)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IFERROR(__xludf.DUMMYFUNCTION("IMPORTRANGE(""https://docs.google.com/spreadsheets/d/11923uPwbBZFjjGgGUA6NLw09EwE0CqkOc4q9oUmW1yo/edit?usp=sharing"",""อุตรดิตถ์!M332"")"),68096.9)</f>
        <v>68096.899999999994</v>
      </c>
      <c r="O437" s="168">
        <f t="shared" ca="1" si="114"/>
        <v>68.096899999999991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IFERROR(__xludf.DUMMYFUNCTION("IMPORTRANGE(""https://docs.google.com/spreadsheets/d/11923uPwbBZFjjGgGUA6NLw09EwE0CqkOc4q9oUmW1yo/edit?usp=sharing"",""อุตรดิตถ์!L333"")"),0)</f>
        <v>0</v>
      </c>
      <c r="M438" s="168"/>
      <c r="N438" s="168">
        <f ca="1">IFERROR(__xludf.DUMMYFUNCTION("IMPORTRANGE(""https://docs.google.com/spreadsheets/d/11923uPwbBZFjjGgGUA6NLw09EwE0CqkOc4q9oUmW1yo/edit?usp=sharing"",""อุตรดิตถ์!M333"")"),0)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IFERROR(__xludf.DUMMYFUNCTION("IMPORTRANGE(""https://docs.google.com/spreadsheets/d/11923uPwbBZFjjGgGUA6NLw09EwE0CqkOc4q9oUmW1yo/edit?usp=sharing"",""อุตรดิตถ์!L334"")"),100000)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IFERROR(__xludf.DUMMYFUNCTION("IMPORTRANGE(""https://docs.google.com/spreadsheets/d/11923uPwbBZFjjGgGUA6NLw09EwE0CqkOc4q9oUmW1yo/edit?usp=sharing"",""อุตรดิตถ์!M334"")"),68096.9)</f>
        <v>68096.899999999994</v>
      </c>
      <c r="O439" s="168">
        <f t="shared" ca="1" si="114"/>
        <v>68.096899999999991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IFERROR(__xludf.DUMMYFUNCTION("IMPORTRANGE(""https://docs.google.com/spreadsheets/d/11923uPwbBZFjjGgGUA6NLw09EwE0CqkOc4q9oUmW1yo/edit?usp=sharing"",""อุตรดิตถ์!M335"")"),40358)</f>
        <v>40358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IFERROR(__xludf.DUMMYFUNCTION("IMPORTRANGE(""https://docs.google.com/spreadsheets/d/11923uPwbBZFjjGgGUA6NLw09EwE0CqkOc4q9oUmW1yo/edit?usp=sharing"",""อุตรดิตถ์!M336"")"),0)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IFERROR(__xludf.DUMMYFUNCTION("IMPORTRANGE(""https://docs.google.com/spreadsheets/d/11923uPwbBZFjjGgGUA6NLw09EwE0CqkOc4q9oUmW1yo/edit?usp=sharing"",""อุตรดิตถ์!M337"")"),0)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IFERROR(__xludf.DUMMYFUNCTION("IMPORTRANGE(""https://docs.google.com/spreadsheets/d/11923uPwbBZFjjGgGUA6NLw09EwE0CqkOc4q9oUmW1yo/edit?usp=sharing"",""อุตรดิตถ์!M338"")"),27738.9)</f>
        <v>27738.9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IFERROR(__xludf.DUMMYFUNCTION("IMPORTRANGE(""https://docs.google.com/spreadsheets/d/11923uPwbBZFjjGgGUA6NLw09EwE0CqkOc4q9oUmW1yo/edit?usp=sharing"",""อุตรดิตถ์!J340"")"),0)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IFERROR(__xludf.DUMMYFUNCTION("IMPORTRANGE(""https://docs.google.com/spreadsheets/d/11923uPwbBZFjjGgGUA6NLw09EwE0CqkOc4q9oUmW1yo/edit?usp=sharing"",""อุตรดิตถ์!J341"")"),1)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IFERROR(__xludf.DUMMYFUNCTION("IMPORTRANGE(""https://docs.google.com/spreadsheets/d/11923uPwbBZFjjGgGUA6NLw09EwE0CqkOc4q9oUmW1yo/edit?usp=sharing"",""อุตรดิตถ์!J342"")"),1)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IFERROR(__xludf.DUMMYFUNCTION("IMPORTRANGE(""https://docs.google.com/spreadsheets/d/11923uPwbBZFjjGgGUA6NLw09EwE0CqkOc4q9oUmW1yo/edit?usp=sharing"",""อุตรดิตถ์!J343"")"),1)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IFERROR(__xludf.DUMMYFUNCTION("IMPORTRANGE(""https://docs.google.com/spreadsheets/d/11923uPwbBZFjjGgGUA6NLw09EwE0CqkOc4q9oUmW1yo/edit?usp=sharing"",""อุตรดิตถ์!I344"")"),20)</f>
        <v>20</v>
      </c>
      <c r="J449" s="200">
        <f ca="1">IFERROR(__xludf.DUMMYFUNCTION("IMPORTRANGE(""https://docs.google.com/spreadsheets/d/11923uPwbBZFjjGgGUA6NLw09EwE0CqkOc4q9oUmW1yo/edit?usp=sharing"",""อุตรดิตถ์!J344"")"),20)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IFERROR(__xludf.DUMMYFUNCTION("IMPORTRANGE(""https://docs.google.com/spreadsheets/d/11923uPwbBZFjjGgGUA6NLw09EwE0CqkOc4q9oUmW1yo/edit?usp=sharing"",""อุตรดิตถ์!I345"")"),20)</f>
        <v>20</v>
      </c>
      <c r="J450" s="188">
        <f ca="1">IFERROR(__xludf.DUMMYFUNCTION("IMPORTRANGE(""https://docs.google.com/spreadsheets/d/11923uPwbBZFjjGgGUA6NLw09EwE0CqkOc4q9oUmW1yo/edit?usp=sharing"",""อุตรดิตถ์!J345"")"),20)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IFERROR(__xludf.DUMMYFUNCTION("IMPORTRANGE(""https://docs.google.com/spreadsheets/d/11923uPwbBZFjjGgGUA6NLw09EwE0CqkOc4q9oUmW1yo/edit?usp=sharing"",""อุตรดิตถ์!I346"")"),0)</f>
        <v>0</v>
      </c>
      <c r="J451" s="187">
        <f ca="1">IFERROR(__xludf.DUMMYFUNCTION("IMPORTRANGE(""https://docs.google.com/spreadsheets/d/11923uPwbBZFjjGgGUA6NLw09EwE0CqkOc4q9oUmW1yo/edit?usp=sharing"",""อุตรดิตถ์!J346"")"),0)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IFERROR(__xludf.DUMMYFUNCTION("IMPORTRANGE(""https://docs.google.com/spreadsheets/d/11923uPwbBZFjjGgGUA6NLw09EwE0CqkOc4q9oUmW1yo/edit?usp=sharing"",""อุตรดิตถ์!I347"")"),0)</f>
        <v>0</v>
      </c>
      <c r="J452" s="187">
        <f ca="1">IFERROR(__xludf.DUMMYFUNCTION("IMPORTRANGE(""https://docs.google.com/spreadsheets/d/11923uPwbBZFjjGgGUA6NLw09EwE0CqkOc4q9oUmW1yo/edit?usp=sharing"",""อุตรดิตถ์!J347"")"),0)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IFERROR(__xludf.DUMMYFUNCTION("IMPORTRANGE(""https://docs.google.com/spreadsheets/d/11923uPwbBZFjjGgGUA6NLw09EwE0CqkOc4q9oUmW1yo/edit?usp=sharing"",""อุตรดิตถ์!J348"")"),0)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IFERROR(__xludf.DUMMYFUNCTION("IMPORTRANGE(""https://docs.google.com/spreadsheets/d/11923uPwbBZFjjGgGUA6NLw09EwE0CqkOc4q9oUmW1yo/edit?usp=sharing"",""อุตรดิตถ์!J349"")"),0)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IFERROR(__xludf.DUMMYFUNCTION("IMPORTRANGE(""https://docs.google.com/spreadsheets/d/11923uPwbBZFjjGgGUA6NLw09EwE0CqkOc4q9oUmW1yo/edit?usp=sharing"",""อุตรดิตถ์!I350"")"),27138)</f>
        <v>27138</v>
      </c>
      <c r="J455" s="370">
        <f ca="1">IFERROR(__xludf.DUMMYFUNCTION("IMPORTRANGE(""https://docs.google.com/spreadsheets/d/11923uPwbBZFjjGgGUA6NLw09EwE0CqkOc4q9oUmW1yo/edit?usp=sharing"",""อุตรดิตถ์!J350"")"),0)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IFERROR(__xludf.DUMMYFUNCTION("IMPORTRANGE(""https://docs.google.com/spreadsheets/d/11923uPwbBZFjjGgGUA6NLw09EwE0CqkOc4q9oUmW1yo/edit?usp=sharing"",""อุตรดิตถ์!L350"")"),190727)</f>
        <v>190727</v>
      </c>
      <c r="M455" s="372"/>
      <c r="N455" s="372">
        <f ca="1">IFERROR(__xludf.DUMMYFUNCTION("IMPORTRANGE(""https://docs.google.com/spreadsheets/d/11923uPwbBZFjjGgGUA6NLw09EwE0CqkOc4q9oUmW1yo/edit?usp=sharing"",""อุตรดิตถ์!M350"")"),60933.69)</f>
        <v>60933.69</v>
      </c>
      <c r="O455" s="372">
        <f t="shared" ref="O455:O459" ca="1" si="116">+IF(L455&gt;0,N455*100/L455,0)</f>
        <v>31.948119563564678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IFERROR(__xludf.DUMMYFUNCTION("IMPORTRANGE(""https://docs.google.com/spreadsheets/d/11923uPwbBZFjjGgGUA6NLw09EwE0CqkOc4q9oUmW1yo/edit?usp=sharing"",""อุตรดิตถ์!L351"")"),0)</f>
        <v>0</v>
      </c>
      <c r="M456" s="164"/>
      <c r="N456" s="168">
        <f ca="1">IFERROR(__xludf.DUMMYFUNCTION("IMPORTRANGE(""https://docs.google.com/spreadsheets/d/11923uPwbBZFjjGgGUA6NLw09EwE0CqkOc4q9oUmW1yo/edit?usp=sharing"",""อุตรดิตถ์!M351"")"),0)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IFERROR(__xludf.DUMMYFUNCTION("IMPORTRANGE(""https://docs.google.com/spreadsheets/d/11923uPwbBZFjjGgGUA6NLw09EwE0CqkOc4q9oUmW1yo/edit?usp=sharing"",""อุตรดิตถ์!L352"")"),190727)</f>
        <v>190727</v>
      </c>
      <c r="M457" s="165"/>
      <c r="N457" s="168">
        <f ca="1">IFERROR(__xludf.DUMMYFUNCTION("IMPORTRANGE(""https://docs.google.com/spreadsheets/d/11923uPwbBZFjjGgGUA6NLw09EwE0CqkOc4q9oUmW1yo/edit?usp=sharing"",""อุตรดิตถ์!M352"")"),60933.69)</f>
        <v>60933.69</v>
      </c>
      <c r="O457" s="168">
        <f t="shared" ca="1" si="116"/>
        <v>31.948119563564678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IFERROR(__xludf.DUMMYFUNCTION("IMPORTRANGE(""https://docs.google.com/spreadsheets/d/11923uPwbBZFjjGgGUA6NLw09EwE0CqkOc4q9oUmW1yo/edit?usp=sharing"",""อุตรดิตถ์!L353"")"),0)</f>
        <v>0</v>
      </c>
      <c r="M458" s="168"/>
      <c r="N458" s="168">
        <f ca="1">IFERROR(__xludf.DUMMYFUNCTION("IMPORTRANGE(""https://docs.google.com/spreadsheets/d/11923uPwbBZFjjGgGUA6NLw09EwE0CqkOc4q9oUmW1yo/edit?usp=sharing"",""อุตรดิตถ์!M353"")"),0)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IFERROR(__xludf.DUMMYFUNCTION("IMPORTRANGE(""https://docs.google.com/spreadsheets/d/11923uPwbBZFjjGgGUA6NLw09EwE0CqkOc4q9oUmW1yo/edit?usp=sharing"",""อุตรดิตถ์!L354"")"),190727)</f>
        <v>190727</v>
      </c>
      <c r="M459" s="168"/>
      <c r="N459" s="168">
        <f ca="1">IFERROR(__xludf.DUMMYFUNCTION("IMPORTRANGE(""https://docs.google.com/spreadsheets/d/11923uPwbBZFjjGgGUA6NLw09EwE0CqkOc4q9oUmW1yo/edit?usp=sharing"",""อุตรดิตถ์!M354"")"),60933.69)</f>
        <v>60933.69</v>
      </c>
      <c r="O459" s="168">
        <f t="shared" ca="1" si="116"/>
        <v>31.948119563564678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IFERROR(__xludf.DUMMYFUNCTION("IMPORTRANGE(""https://docs.google.com/spreadsheets/d/11923uPwbBZFjjGgGUA6NLw09EwE0CqkOc4q9oUmW1yo/edit?usp=sharing"",""อุตรดิตถ์!M355"")"),0)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IFERROR(__xludf.DUMMYFUNCTION("IMPORTRANGE(""https://docs.google.com/spreadsheets/d/11923uPwbBZFjjGgGUA6NLw09EwE0CqkOc4q9oUmW1yo/edit?usp=sharing"",""อุตรดิตถ์!M356"")"),0)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IFERROR(__xludf.DUMMYFUNCTION("IMPORTRANGE(""https://docs.google.com/spreadsheets/d/11923uPwbBZFjjGgGUA6NLw09EwE0CqkOc4q9oUmW1yo/edit?usp=sharing"",""อุตรดิตถ์!M357"")"),0)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IFERROR(__xludf.DUMMYFUNCTION("IMPORTRANGE(""https://docs.google.com/spreadsheets/d/11923uPwbBZFjjGgGUA6NLw09EwE0CqkOc4q9oUmW1yo/edit?usp=sharing"",""อุตรดิตถ์!M358"")"),60933.69)</f>
        <v>60933.69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IFERROR(__xludf.DUMMYFUNCTION("IMPORTRANGE(""https://docs.google.com/spreadsheets/d/11923uPwbBZFjjGgGUA6NLw09EwE0CqkOc4q9oUmW1yo/edit?usp=sharing"",""อุตรดิตถ์!I359"")"),27138)</f>
        <v>27138</v>
      </c>
      <c r="J464" s="267">
        <f ca="1">IFERROR(__xludf.DUMMYFUNCTION("IMPORTRANGE(""https://docs.google.com/spreadsheets/d/11923uPwbBZFjjGgGUA6NLw09EwE0CqkOc4q9oUmW1yo/edit?usp=sharing"",""อุตรดิตถ์!J359"")"),0)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IFERROR(__xludf.DUMMYFUNCTION("IMPORTRANGE(""https://docs.google.com/spreadsheets/d/11923uPwbBZFjjGgGUA6NLw09EwE0CqkOc4q9oUmW1yo/edit?usp=sharing"",""อุตรดิตถ์!I360"")"),27138)</f>
        <v>27138</v>
      </c>
      <c r="J465" s="420">
        <f ca="1">IFERROR(__xludf.DUMMYFUNCTION("IMPORTRANGE(""https://docs.google.com/spreadsheets/d/11923uPwbBZFjjGgGUA6NLw09EwE0CqkOc4q9oUmW1yo/edit?usp=sharing"",""อุตรดิตถ์!J360"")"),27156.34)</f>
        <v>27156.34</v>
      </c>
      <c r="K465" s="201">
        <f t="shared" ca="1" si="117"/>
        <v>100.06758051440784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IFERROR(__xludf.DUMMYFUNCTION("IMPORTRANGE(""https://docs.google.com/spreadsheets/d/11923uPwbBZFjjGgGUA6NLw09EwE0CqkOc4q9oUmW1yo/edit?usp=sharing"",""อุตรดิตถ์!I361"")"),2764)</f>
        <v>2764</v>
      </c>
      <c r="J466" s="420">
        <f ca="1">IFERROR(__xludf.DUMMYFUNCTION("IMPORTRANGE(""https://docs.google.com/spreadsheets/d/11923uPwbBZFjjGgGUA6NLw09EwE0CqkOc4q9oUmW1yo/edit?usp=sharing"",""อุตรดิตถ์!J361"")"),2764)</f>
        <v>2764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IFERROR(__xludf.DUMMYFUNCTION("IMPORTRANGE(""https://docs.google.com/spreadsheets/d/11923uPwbBZFjjGgGUA6NLw09EwE0CqkOc4q9oUmW1yo/edit?usp=sharing"",""อุตรดิตถ์!I362"")"),0)</f>
        <v>0</v>
      </c>
      <c r="J467" s="188">
        <f ca="1">IFERROR(__xludf.DUMMYFUNCTION("IMPORTRANGE(""https://docs.google.com/spreadsheets/d/11923uPwbBZFjjGgGUA6NLw09EwE0CqkOc4q9oUmW1yo/edit?usp=sharing"",""อุตรดิตถ์!J362"")"),25214)</f>
        <v>25214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IFERROR(__xludf.DUMMYFUNCTION("IMPORTRANGE(""https://docs.google.com/spreadsheets/d/11923uPwbBZFjjGgGUA6NLw09EwE0CqkOc4q9oUmW1yo/edit?usp=sharing"",""อุตรดิตถ์!I363"")"),0)</f>
        <v>0</v>
      </c>
      <c r="J468" s="188">
        <f ca="1">IFERROR(__xludf.DUMMYFUNCTION("IMPORTRANGE(""https://docs.google.com/spreadsheets/d/11923uPwbBZFjjGgGUA6NLw09EwE0CqkOc4q9oUmW1yo/edit?usp=sharing"",""อุตรดิตถ์!J363"")"),2565)</f>
        <v>2565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IFERROR(__xludf.DUMMYFUNCTION("IMPORTRANGE(""https://docs.google.com/spreadsheets/d/11923uPwbBZFjjGgGUA6NLw09EwE0CqkOc4q9oUmW1yo/edit?usp=sharing"",""อุตรดิตถ์!I364"")"),0)</f>
        <v>0</v>
      </c>
      <c r="J469" s="188">
        <f ca="1">IFERROR(__xludf.DUMMYFUNCTION("IMPORTRANGE(""https://docs.google.com/spreadsheets/d/11923uPwbBZFjjGgGUA6NLw09EwE0CqkOc4q9oUmW1yo/edit?usp=sharing"",""อุตรดิตถ์!J364"")"),1492.34)</f>
        <v>1492.34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IFERROR(__xludf.DUMMYFUNCTION("IMPORTRANGE(""https://docs.google.com/spreadsheets/d/11923uPwbBZFjjGgGUA6NLw09EwE0CqkOc4q9oUmW1yo/edit?usp=sharing"",""อุตรดิตถ์!I365"")"),0)</f>
        <v>0</v>
      </c>
      <c r="J470" s="188">
        <f ca="1">IFERROR(__xludf.DUMMYFUNCTION("IMPORTRANGE(""https://docs.google.com/spreadsheets/d/11923uPwbBZFjjGgGUA6NLw09EwE0CqkOc4q9oUmW1yo/edit?usp=sharing"",""อุตรดิตถ์!J365"")"),151)</f>
        <v>151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IFERROR(__xludf.DUMMYFUNCTION("IMPORTRANGE(""https://docs.google.com/spreadsheets/d/11923uPwbBZFjjGgGUA6NLw09EwE0CqkOc4q9oUmW1yo/edit?usp=sharing"",""อุตรดิตถ์!I366"")"),0)</f>
        <v>0</v>
      </c>
      <c r="J471" s="188">
        <f ca="1">IFERROR(__xludf.DUMMYFUNCTION("IMPORTRANGE(""https://docs.google.com/spreadsheets/d/11923uPwbBZFjjGgGUA6NLw09EwE0CqkOc4q9oUmW1yo/edit?usp=sharing"",""อุตรดิตถ์!J366"")"),450)</f>
        <v>450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IFERROR(__xludf.DUMMYFUNCTION("IMPORTRANGE(""https://docs.google.com/spreadsheets/d/11923uPwbBZFjjGgGUA6NLw09EwE0CqkOc4q9oUmW1yo/edit?usp=sharing"",""อุตรดิตถ์!I367"")"),0)</f>
        <v>0</v>
      </c>
      <c r="J472" s="188">
        <f ca="1">IFERROR(__xludf.DUMMYFUNCTION("IMPORTRANGE(""https://docs.google.com/spreadsheets/d/11923uPwbBZFjjGgGUA6NLw09EwE0CqkOc4q9oUmW1yo/edit?usp=sharing"",""อุตรดิตถ์!J367"")"),48)</f>
        <v>48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IFERROR(__xludf.DUMMYFUNCTION("IMPORTRANGE(""https://docs.google.com/spreadsheets/d/11923uPwbBZFjjGgGUA6NLw09EwE0CqkOc4q9oUmW1yo/edit?usp=sharing"",""อุตรดิตถ์!I368"")"),27138)</f>
        <v>27138</v>
      </c>
      <c r="J473" s="420">
        <f ca="1">IFERROR(__xludf.DUMMYFUNCTION("IMPORTRANGE(""https://docs.google.com/spreadsheets/d/11923uPwbBZFjjGgGUA6NLw09EwE0CqkOc4q9oUmW1yo/edit?usp=sharing"",""อุตรดิตถ์!J368"")"),27142.65)</f>
        <v>27142.65</v>
      </c>
      <c r="K473" s="201">
        <f t="shared" ca="1" si="117"/>
        <v>100.01713464514702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IFERROR(__xludf.DUMMYFUNCTION("IMPORTRANGE(""https://docs.google.com/spreadsheets/d/11923uPwbBZFjjGgGUA6NLw09EwE0CqkOc4q9oUmW1yo/edit?usp=sharing"",""อุตรดิตถ์!I369"")"),2764)</f>
        <v>2764</v>
      </c>
      <c r="J474" s="420">
        <f ca="1">IFERROR(__xludf.DUMMYFUNCTION("IMPORTRANGE(""https://docs.google.com/spreadsheets/d/11923uPwbBZFjjGgGUA6NLw09EwE0CqkOc4q9oUmW1yo/edit?usp=sharing"",""อุตรดิตถ์!J369"")"),2765)</f>
        <v>2765</v>
      </c>
      <c r="K474" s="163">
        <f t="shared" ca="1" si="117"/>
        <v>100.03617945007235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IFERROR(__xludf.DUMMYFUNCTION("IMPORTRANGE(""https://docs.google.com/spreadsheets/d/11923uPwbBZFjjGgGUA6NLw09EwE0CqkOc4q9oUmW1yo/edit?usp=sharing"",""อุตรดิตถ์!I370"")"),0)</f>
        <v>0</v>
      </c>
      <c r="J475" s="188">
        <f ca="1">IFERROR(__xludf.DUMMYFUNCTION("IMPORTRANGE(""https://docs.google.com/spreadsheets/d/11923uPwbBZFjjGgGUA6NLw09EwE0CqkOc4q9oUmW1yo/edit?usp=sharing"",""อุตรดิตถ์!J370"")"),25677.4)</f>
        <v>25677.4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IFERROR(__xludf.DUMMYFUNCTION("IMPORTRANGE(""https://docs.google.com/spreadsheets/d/11923uPwbBZFjjGgGUA6NLw09EwE0CqkOc4q9oUmW1yo/edit?usp=sharing"",""อุตรดิตถ์!I371"")"),0)</f>
        <v>0</v>
      </c>
      <c r="J476" s="188">
        <f ca="1">IFERROR(__xludf.DUMMYFUNCTION("IMPORTRANGE(""https://docs.google.com/spreadsheets/d/11923uPwbBZFjjGgGUA6NLw09EwE0CqkOc4q9oUmW1yo/edit?usp=sharing"",""อุตรดิตถ์!J371"")"),2618)</f>
        <v>2618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IFERROR(__xludf.DUMMYFUNCTION("IMPORTRANGE(""https://docs.google.com/spreadsheets/d/11923uPwbBZFjjGgGUA6NLw09EwE0CqkOc4q9oUmW1yo/edit?usp=sharing"",""อุตรดิตถ์!I372"")"),0)</f>
        <v>0</v>
      </c>
      <c r="J477" s="188">
        <f ca="1">IFERROR(__xludf.DUMMYFUNCTION("IMPORTRANGE(""https://docs.google.com/spreadsheets/d/11923uPwbBZFjjGgGUA6NLw09EwE0CqkOc4q9oUmW1yo/edit?usp=sharing"",""อุตรดิตถ์!J372"")"),994.25)</f>
        <v>994.25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IFERROR(__xludf.DUMMYFUNCTION("IMPORTRANGE(""https://docs.google.com/spreadsheets/d/11923uPwbBZFjjGgGUA6NLw09EwE0CqkOc4q9oUmW1yo/edit?usp=sharing"",""อุตรดิตถ์!I373"")"),0)</f>
        <v>0</v>
      </c>
      <c r="J478" s="188">
        <f ca="1">IFERROR(__xludf.DUMMYFUNCTION("IMPORTRANGE(""https://docs.google.com/spreadsheets/d/11923uPwbBZFjjGgGUA6NLw09EwE0CqkOc4q9oUmW1yo/edit?usp=sharing"",""อุตรดิตถ์!J373"")"),94)</f>
        <v>94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IFERROR(__xludf.DUMMYFUNCTION("IMPORTRANGE(""https://docs.google.com/spreadsheets/d/11923uPwbBZFjjGgGUA6NLw09EwE0CqkOc4q9oUmW1yo/edit?usp=sharing"",""อุตรดิตถ์!I374"")"),0)</f>
        <v>0</v>
      </c>
      <c r="J479" s="188">
        <f ca="1">IFERROR(__xludf.DUMMYFUNCTION("IMPORTRANGE(""https://docs.google.com/spreadsheets/d/11923uPwbBZFjjGgGUA6NLw09EwE0CqkOc4q9oUmW1yo/edit?usp=sharing"",""อุตรดิตถ์!J374"")"),471)</f>
        <v>471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IFERROR(__xludf.DUMMYFUNCTION("IMPORTRANGE(""https://docs.google.com/spreadsheets/d/11923uPwbBZFjjGgGUA6NLw09EwE0CqkOc4q9oUmW1yo/edit?usp=sharing"",""อุตรดิตถ์!I375"")"),0)</f>
        <v>0</v>
      </c>
      <c r="J480" s="188">
        <f ca="1">IFERROR(__xludf.DUMMYFUNCTION("IMPORTRANGE(""https://docs.google.com/spreadsheets/d/11923uPwbBZFjjGgGUA6NLw09EwE0CqkOc4q9oUmW1yo/edit?usp=sharing"",""อุตรดิตถ์!J375"")"),53)</f>
        <v>53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IFERROR(__xludf.DUMMYFUNCTION("IMPORTRANGE(""https://docs.google.com/spreadsheets/d/11923uPwbBZFjjGgGUA6NLw09EwE0CqkOc4q9oUmW1yo/edit?usp=sharing"",""อุตรดิตถ์!I376"")"),27138)</f>
        <v>27138</v>
      </c>
      <c r="J481" s="420">
        <f ca="1">IFERROR(__xludf.DUMMYFUNCTION("IMPORTRANGE(""https://docs.google.com/spreadsheets/d/11923uPwbBZFjjGgGUA6NLw09EwE0CqkOc4q9oUmW1yo/edit?usp=sharing"",""อุตรดิตถ์!J376"")"),0)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IFERROR(__xludf.DUMMYFUNCTION("IMPORTRANGE(""https://docs.google.com/spreadsheets/d/11923uPwbBZFjjGgGUA6NLw09EwE0CqkOc4q9oUmW1yo/edit?usp=sharing"",""อุตรดิตถ์!I377"")"),2764)</f>
        <v>2764</v>
      </c>
      <c r="J482" s="420">
        <f ca="1">IFERROR(__xludf.DUMMYFUNCTION("IMPORTRANGE(""https://docs.google.com/spreadsheets/d/11923uPwbBZFjjGgGUA6NLw09EwE0CqkOc4q9oUmW1yo/edit?usp=sharing"",""อุตรดิตถ์!J377"")"),0)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IFERROR(__xludf.DUMMYFUNCTION("IMPORTRANGE(""https://docs.google.com/spreadsheets/d/11923uPwbBZFjjGgGUA6NLw09EwE0CqkOc4q9oUmW1yo/edit?usp=sharing"",""อุตรดิตถ์!I378"")"),0)</f>
        <v>0</v>
      </c>
      <c r="J483" s="188">
        <f ca="1">IFERROR(__xludf.DUMMYFUNCTION("IMPORTRANGE(""https://docs.google.com/spreadsheets/d/11923uPwbBZFjjGgGUA6NLw09EwE0CqkOc4q9oUmW1yo/edit?usp=sharing"",""อุตรดิตถ์!J378"")"),0)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IFERROR(__xludf.DUMMYFUNCTION("IMPORTRANGE(""https://docs.google.com/spreadsheets/d/11923uPwbBZFjjGgGUA6NLw09EwE0CqkOc4q9oUmW1yo/edit?usp=sharing"",""อุตรดิตถ์!I379"")"),0)</f>
        <v>0</v>
      </c>
      <c r="J484" s="188">
        <f ca="1">IFERROR(__xludf.DUMMYFUNCTION("IMPORTRANGE(""https://docs.google.com/spreadsheets/d/11923uPwbBZFjjGgGUA6NLw09EwE0CqkOc4q9oUmW1yo/edit?usp=sharing"",""อุตรดิตถ์!J379"")"),0)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IFERROR(__xludf.DUMMYFUNCTION("IMPORTRANGE(""https://docs.google.com/spreadsheets/d/11923uPwbBZFjjGgGUA6NLw09EwE0CqkOc4q9oUmW1yo/edit?usp=sharing"",""อุตรดิตถ์!I380"")"),0)</f>
        <v>0</v>
      </c>
      <c r="J485" s="188">
        <f ca="1">IFERROR(__xludf.DUMMYFUNCTION("IMPORTRANGE(""https://docs.google.com/spreadsheets/d/11923uPwbBZFjjGgGUA6NLw09EwE0CqkOc4q9oUmW1yo/edit?usp=sharing"",""อุตรดิตถ์!J380"")"),0)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IFERROR(__xludf.DUMMYFUNCTION("IMPORTRANGE(""https://docs.google.com/spreadsheets/d/11923uPwbBZFjjGgGUA6NLw09EwE0CqkOc4q9oUmW1yo/edit?usp=sharing"",""อุตรดิตถ์!I381"")"),0)</f>
        <v>0</v>
      </c>
      <c r="J486" s="188">
        <f ca="1">IFERROR(__xludf.DUMMYFUNCTION("IMPORTRANGE(""https://docs.google.com/spreadsheets/d/11923uPwbBZFjjGgGUA6NLw09EwE0CqkOc4q9oUmW1yo/edit?usp=sharing"",""อุตรดิตถ์!J381"")"),0)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IFERROR(__xludf.DUMMYFUNCTION("IMPORTRANGE(""https://docs.google.com/spreadsheets/d/11923uPwbBZFjjGgGUA6NLw09EwE0CqkOc4q9oUmW1yo/edit?usp=sharing"",""อุตรดิตถ์!I382"")"),0)</f>
        <v>0</v>
      </c>
      <c r="J487" s="420">
        <f ca="1">IFERROR(__xludf.DUMMYFUNCTION("IMPORTRANGE(""https://docs.google.com/spreadsheets/d/11923uPwbBZFjjGgGUA6NLw09EwE0CqkOc4q9oUmW1yo/edit?usp=sharing"",""อุตรดิตถ์!J382"")"),0)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IFERROR(__xludf.DUMMYFUNCTION("IMPORTRANGE(""https://docs.google.com/spreadsheets/d/11923uPwbBZFjjGgGUA6NLw09EwE0CqkOc4q9oUmW1yo/edit?usp=sharing"",""อุตรดิตถ์!I383"")"),0)</f>
        <v>0</v>
      </c>
      <c r="J488" s="420">
        <f ca="1">IFERROR(__xludf.DUMMYFUNCTION("IMPORTRANGE(""https://docs.google.com/spreadsheets/d/11923uPwbBZFjjGgGUA6NLw09EwE0CqkOc4q9oUmW1yo/edit?usp=sharing"",""อุตรดิตถ์!J383"")"),0)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IFERROR(__xludf.DUMMYFUNCTION("IMPORTRANGE(""https://docs.google.com/spreadsheets/d/11923uPwbBZFjjGgGUA6NLw09EwE0CqkOc4q9oUmW1yo/edit?usp=sharing"",""อุตรดิตถ์!I384"")"),0)</f>
        <v>0</v>
      </c>
      <c r="J489" s="188">
        <f ca="1">IFERROR(__xludf.DUMMYFUNCTION("IMPORTRANGE(""https://docs.google.com/spreadsheets/d/11923uPwbBZFjjGgGUA6NLw09EwE0CqkOc4q9oUmW1yo/edit?usp=sharing"",""อุตรดิตถ์!J384"")"),0)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IFERROR(__xludf.DUMMYFUNCTION("IMPORTRANGE(""https://docs.google.com/spreadsheets/d/11923uPwbBZFjjGgGUA6NLw09EwE0CqkOc4q9oUmW1yo/edit?usp=sharing"",""อุตรดิตถ์!I385"")"),0)</f>
        <v>0</v>
      </c>
      <c r="J490" s="188">
        <f ca="1">IFERROR(__xludf.DUMMYFUNCTION("IMPORTRANGE(""https://docs.google.com/spreadsheets/d/11923uPwbBZFjjGgGUA6NLw09EwE0CqkOc4q9oUmW1yo/edit?usp=sharing"",""อุตรดิตถ์!J385"")"),0)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IFERROR(__xludf.DUMMYFUNCTION("IMPORTRANGE(""https://docs.google.com/spreadsheets/d/11923uPwbBZFjjGgGUA6NLw09EwE0CqkOc4q9oUmW1yo/edit?usp=sharing"",""อุตรดิตถ์!I386"")"),0)</f>
        <v>0</v>
      </c>
      <c r="J491" s="188">
        <f ca="1">IFERROR(__xludf.DUMMYFUNCTION("IMPORTRANGE(""https://docs.google.com/spreadsheets/d/11923uPwbBZFjjGgGUA6NLw09EwE0CqkOc4q9oUmW1yo/edit?usp=sharing"",""อุตรดิตถ์!J386"")"),0)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IFERROR(__xludf.DUMMYFUNCTION("IMPORTRANGE(""https://docs.google.com/spreadsheets/d/11923uPwbBZFjjGgGUA6NLw09EwE0CqkOc4q9oUmW1yo/edit?usp=sharing"",""อุตรดิตถ์!I387"")"),0)</f>
        <v>0</v>
      </c>
      <c r="J492" s="188">
        <f ca="1">IFERROR(__xludf.DUMMYFUNCTION("IMPORTRANGE(""https://docs.google.com/spreadsheets/d/11923uPwbBZFjjGgGUA6NLw09EwE0CqkOc4q9oUmW1yo/edit?usp=sharing"",""อุตรดิตถ์!J387"")"),0)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IFERROR(__xludf.DUMMYFUNCTION("IMPORTRANGE(""https://docs.google.com/spreadsheets/d/11923uPwbBZFjjGgGUA6NLw09EwE0CqkOc4q9oUmW1yo/edit?usp=sharing"",""อุตรดิตถ์!I388"")"),0)</f>
        <v>0</v>
      </c>
      <c r="J493" s="188">
        <f ca="1">IFERROR(__xludf.DUMMYFUNCTION("IMPORTRANGE(""https://docs.google.com/spreadsheets/d/11923uPwbBZFjjGgGUA6NLw09EwE0CqkOc4q9oUmW1yo/edit?usp=sharing"",""อุตรดิตถ์!J388"")"),0)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IFERROR(__xludf.DUMMYFUNCTION("IMPORTRANGE(""https://docs.google.com/spreadsheets/d/11923uPwbBZFjjGgGUA6NLw09EwE0CqkOc4q9oUmW1yo/edit?usp=sharing"",""อุตรดิตถ์!I389"")"),0)</f>
        <v>0</v>
      </c>
      <c r="J494" s="436">
        <f ca="1">IFERROR(__xludf.DUMMYFUNCTION("IMPORTRANGE(""https://docs.google.com/spreadsheets/d/11923uPwbBZFjjGgGUA6NLw09EwE0CqkOc4q9oUmW1yo/edit?usp=sharing"",""อุตรดิตถ์!J389"")"),0)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IFERROR(__xludf.DUMMYFUNCTION("IMPORTRANGE(""https://docs.google.com/spreadsheets/d/11923uPwbBZFjjGgGUA6NLw09EwE0CqkOc4q9oUmW1yo/edit?usp=sharing"",""อุตรดิตถ์!I390"")"),0)</f>
        <v>0</v>
      </c>
      <c r="J495" s="436">
        <f ca="1">IFERROR(__xludf.DUMMYFUNCTION("IMPORTRANGE(""https://docs.google.com/spreadsheets/d/11923uPwbBZFjjGgGUA6NLw09EwE0CqkOc4q9oUmW1yo/edit?usp=sharing"",""อุตรดิตถ์!J390"")"),0)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IFERROR(__xludf.DUMMYFUNCTION("IMPORTRANGE(""https://docs.google.com/spreadsheets/d/11923uPwbBZFjjGgGUA6NLw09EwE0CqkOc4q9oUmW1yo/edit?usp=sharing"",""อุตรดิตถ์!I391"")"),0)</f>
        <v>0</v>
      </c>
      <c r="J496" s="436">
        <f ca="1">IFERROR(__xludf.DUMMYFUNCTION("IMPORTRANGE(""https://docs.google.com/spreadsheets/d/11923uPwbBZFjjGgGUA6NLw09EwE0CqkOc4q9oUmW1yo/edit?usp=sharing"",""อุตรดิตถ์!J391"")"),0)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IFERROR(__xludf.DUMMYFUNCTION("IMPORTRANGE(""https://docs.google.com/spreadsheets/d/11923uPwbBZFjjGgGUA6NLw09EwE0CqkOc4q9oUmW1yo/edit?usp=sharing"",""อุตรดิตถ์!I392"")"),12)</f>
        <v>12</v>
      </c>
      <c r="J497" s="443">
        <f ca="1">IFERROR(__xludf.DUMMYFUNCTION("IMPORTRANGE(""https://docs.google.com/spreadsheets/d/11923uPwbBZFjjGgGUA6NLw09EwE0CqkOc4q9oUmW1yo/edit?usp=sharing"",""อุตรดิตถ์!J392"")"),0)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IFERROR(__xludf.DUMMYFUNCTION("IMPORTRANGE(""https://docs.google.com/spreadsheets/d/11923uPwbBZFjjGgGUA6NLw09EwE0CqkOc4q9oUmW1yo/edit?usp=sharing"",""อุตรดิตถ์!I393"")"),12)</f>
        <v>12</v>
      </c>
      <c r="J498" s="420">
        <f ca="1">IFERROR(__xludf.DUMMYFUNCTION("IMPORTRANGE(""https://docs.google.com/spreadsheets/d/11923uPwbBZFjjGgGUA6NLw09EwE0CqkOc4q9oUmW1yo/edit?usp=sharing"",""อุตรดิตถ์!J393"")"),0)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IFERROR(__xludf.DUMMYFUNCTION("IMPORTRANGE(""https://docs.google.com/spreadsheets/d/11923uPwbBZFjjGgGUA6NLw09EwE0CqkOc4q9oUmW1yo/edit?usp=sharing"",""อุตรดิตถ์!I394"")"),4)</f>
        <v>4</v>
      </c>
      <c r="J499" s="420">
        <f ca="1">IFERROR(__xludf.DUMMYFUNCTION("IMPORTRANGE(""https://docs.google.com/spreadsheets/d/11923uPwbBZFjjGgGUA6NLw09EwE0CqkOc4q9oUmW1yo/edit?usp=sharing"",""อุตรดิตถ์!J394"")"),0)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IFERROR(__xludf.DUMMYFUNCTION("IMPORTRANGE(""https://docs.google.com/spreadsheets/d/11923uPwbBZFjjGgGUA6NLw09EwE0CqkOc4q9oUmW1yo/edit?usp=sharing"",""อุตรดิตถ์!I395"")"),0)</f>
        <v>0</v>
      </c>
      <c r="J500" s="162">
        <f ca="1">IFERROR(__xludf.DUMMYFUNCTION("IMPORTRANGE(""https://docs.google.com/spreadsheets/d/11923uPwbBZFjjGgGUA6NLw09EwE0CqkOc4q9oUmW1yo/edit?usp=sharing"",""อุตรดิตถ์!J395"")"),0)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IFERROR(__xludf.DUMMYFUNCTION("IMPORTRANGE(""https://docs.google.com/spreadsheets/d/11923uPwbBZFjjGgGUA6NLw09EwE0CqkOc4q9oUmW1yo/edit?usp=sharing"",""อุตรดิตถ์!I396"")"),0)</f>
        <v>0</v>
      </c>
      <c r="J501" s="162">
        <f ca="1">IFERROR(__xludf.DUMMYFUNCTION("IMPORTRANGE(""https://docs.google.com/spreadsheets/d/11923uPwbBZFjjGgGUA6NLw09EwE0CqkOc4q9oUmW1yo/edit?usp=sharing"",""อุตรดิตถ์!J396"")"),0)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IFERROR(__xludf.DUMMYFUNCTION("IMPORTRANGE(""https://docs.google.com/spreadsheets/d/11923uPwbBZFjjGgGUA6NLw09EwE0CqkOc4q9oUmW1yo/edit?usp=sharing"",""อุตรดิตถ์!I397"")"),0)</f>
        <v>0</v>
      </c>
      <c r="J502" s="188">
        <f ca="1">IFERROR(__xludf.DUMMYFUNCTION("IMPORTRANGE(""https://docs.google.com/spreadsheets/d/11923uPwbBZFjjGgGUA6NLw09EwE0CqkOc4q9oUmW1yo/edit?usp=sharing"",""อุตรดิตถ์!J397"")"),0)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IFERROR(__xludf.DUMMYFUNCTION("IMPORTRANGE(""https://docs.google.com/spreadsheets/d/11923uPwbBZFjjGgGUA6NLw09EwE0CqkOc4q9oUmW1yo/edit?usp=sharing"",""อุตรดิตถ์!I398"")"),0)</f>
        <v>0</v>
      </c>
      <c r="J503" s="197">
        <f ca="1">IFERROR(__xludf.DUMMYFUNCTION("IMPORTRANGE(""https://docs.google.com/spreadsheets/d/11923uPwbBZFjjGgGUA6NLw09EwE0CqkOc4q9oUmW1yo/edit?usp=sharing"",""อุตรดิตถ์!J398"")"),0)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IFERROR(__xludf.DUMMYFUNCTION("IMPORTRANGE(""https://docs.google.com/spreadsheets/d/11923uPwbBZFjjGgGUA6NLw09EwE0CqkOc4q9oUmW1yo/edit?usp=sharing"",""อุตรดิตถ์!I399"")"),0)</f>
        <v>0</v>
      </c>
      <c r="J504" s="188">
        <f ca="1">IFERROR(__xludf.DUMMYFUNCTION("IMPORTRANGE(""https://docs.google.com/spreadsheets/d/11923uPwbBZFjjGgGUA6NLw09EwE0CqkOc4q9oUmW1yo/edit?usp=sharing"",""อุตรดิตถ์!J399"")"),0)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IFERROR(__xludf.DUMMYFUNCTION("IMPORTRANGE(""https://docs.google.com/spreadsheets/d/11923uPwbBZFjjGgGUA6NLw09EwE0CqkOc4q9oUmW1yo/edit?usp=sharing"",""อุตรดิตถ์!I400"")"),0)</f>
        <v>0</v>
      </c>
      <c r="J505" s="197">
        <f ca="1">IFERROR(__xludf.DUMMYFUNCTION("IMPORTRANGE(""https://docs.google.com/spreadsheets/d/11923uPwbBZFjjGgGUA6NLw09EwE0CqkOc4q9oUmW1yo/edit?usp=sharing"",""อุตรดิตถ์!J400"")"),0)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IFERROR(__xludf.DUMMYFUNCTION("IMPORTRANGE(""https://docs.google.com/spreadsheets/d/11923uPwbBZFjjGgGUA6NLw09EwE0CqkOc4q9oUmW1yo/edit?usp=sharing"",""อุตรดิตถ์!I401"")"),0)</f>
        <v>0</v>
      </c>
      <c r="J506" s="188">
        <f ca="1">IFERROR(__xludf.DUMMYFUNCTION("IMPORTRANGE(""https://docs.google.com/spreadsheets/d/11923uPwbBZFjjGgGUA6NLw09EwE0CqkOc4q9oUmW1yo/edit?usp=sharing"",""อุตรดิตถ์!J401"")"),0)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IFERROR(__xludf.DUMMYFUNCTION("IMPORTRANGE(""https://docs.google.com/spreadsheets/d/11923uPwbBZFjjGgGUA6NLw09EwE0CqkOc4q9oUmW1yo/edit?usp=sharing"",""อุตรดิตถ์!I402"")"),0)</f>
        <v>0</v>
      </c>
      <c r="J507" s="197">
        <f ca="1">IFERROR(__xludf.DUMMYFUNCTION("IMPORTRANGE(""https://docs.google.com/spreadsheets/d/11923uPwbBZFjjGgGUA6NLw09EwE0CqkOc4q9oUmW1yo/edit?usp=sharing"",""อุตรดิตถ์!J402"")"),0)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IFERROR(__xludf.DUMMYFUNCTION("IMPORTRANGE(""https://docs.google.com/spreadsheets/d/11923uPwbBZFjjGgGUA6NLw09EwE0CqkOc4q9oUmW1yo/edit?usp=sharing"",""อุตรดิตถ์!I403"")"),0)</f>
        <v>0</v>
      </c>
      <c r="J508" s="162">
        <f ca="1">IFERROR(__xludf.DUMMYFUNCTION("IMPORTRANGE(""https://docs.google.com/spreadsheets/d/11923uPwbBZFjjGgGUA6NLw09EwE0CqkOc4q9oUmW1yo/edit?usp=sharing"",""อุตรดิตถ์!J403"")"),0)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IFERROR(__xludf.DUMMYFUNCTION("IMPORTRANGE(""https://docs.google.com/spreadsheets/d/11923uPwbBZFjjGgGUA6NLw09EwE0CqkOc4q9oUmW1yo/edit?usp=sharing"",""อุตรดิตถ์!I404"")"),0)</f>
        <v>0</v>
      </c>
      <c r="J509" s="162">
        <f ca="1">IFERROR(__xludf.DUMMYFUNCTION("IMPORTRANGE(""https://docs.google.com/spreadsheets/d/11923uPwbBZFjjGgGUA6NLw09EwE0CqkOc4q9oUmW1yo/edit?usp=sharing"",""อุตรดิตถ์!J404"")"),0)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IFERROR(__xludf.DUMMYFUNCTION("IMPORTRANGE(""https://docs.google.com/spreadsheets/d/11923uPwbBZFjjGgGUA6NLw09EwE0CqkOc4q9oUmW1yo/edit?usp=sharing"",""อุตรดิตถ์!I405"")"),0)</f>
        <v>0</v>
      </c>
      <c r="J510" s="197">
        <f ca="1">IFERROR(__xludf.DUMMYFUNCTION("IMPORTRANGE(""https://docs.google.com/spreadsheets/d/11923uPwbBZFjjGgGUA6NLw09EwE0CqkOc4q9oUmW1yo/edit?usp=sharing"",""อุตรดิตถ์!J405"")"),0)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IFERROR(__xludf.DUMMYFUNCTION("IMPORTRANGE(""https://docs.google.com/spreadsheets/d/11923uPwbBZFjjGgGUA6NLw09EwE0CqkOc4q9oUmW1yo/edit?usp=sharing"",""อุตรดิตถ์!I406"")"),0)</f>
        <v>0</v>
      </c>
      <c r="J511" s="197">
        <f ca="1">IFERROR(__xludf.DUMMYFUNCTION("IMPORTRANGE(""https://docs.google.com/spreadsheets/d/11923uPwbBZFjjGgGUA6NLw09EwE0CqkOc4q9oUmW1yo/edit?usp=sharing"",""อุตรดิตถ์!J406"")"),0)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IFERROR(__xludf.DUMMYFUNCTION("IMPORTRANGE(""https://docs.google.com/spreadsheets/d/11923uPwbBZFjjGgGUA6NLw09EwE0CqkOc4q9oUmW1yo/edit?usp=sharing"",""อุตรดิตถ์!I407"")"),0)</f>
        <v>0</v>
      </c>
      <c r="J512" s="197">
        <f ca="1">IFERROR(__xludf.DUMMYFUNCTION("IMPORTRANGE(""https://docs.google.com/spreadsheets/d/11923uPwbBZFjjGgGUA6NLw09EwE0CqkOc4q9oUmW1yo/edit?usp=sharing"",""อุตรดิตถ์!J407"")"),0)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IFERROR(__xludf.DUMMYFUNCTION("IMPORTRANGE(""https://docs.google.com/spreadsheets/d/11923uPwbBZFjjGgGUA6NLw09EwE0CqkOc4q9oUmW1yo/edit?usp=sharing"",""อุตรดิตถ์!I408"")"),0)</f>
        <v>0</v>
      </c>
      <c r="J513" s="197">
        <f ca="1">IFERROR(__xludf.DUMMYFUNCTION("IMPORTRANGE(""https://docs.google.com/spreadsheets/d/11923uPwbBZFjjGgGUA6NLw09EwE0CqkOc4q9oUmW1yo/edit?usp=sharing"",""อุตรดิตถ์!J408"")"),0)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IFERROR(__xludf.DUMMYFUNCTION("IMPORTRANGE(""https://docs.google.com/spreadsheets/d/11923uPwbBZFjjGgGUA6NLw09EwE0CqkOc4q9oUmW1yo/edit?usp=sharing"",""อุตรดิตถ์!I409"")"),0)</f>
        <v>0</v>
      </c>
      <c r="J514" s="197">
        <f ca="1">IFERROR(__xludf.DUMMYFUNCTION("IMPORTRANGE(""https://docs.google.com/spreadsheets/d/11923uPwbBZFjjGgGUA6NLw09EwE0CqkOc4q9oUmW1yo/edit?usp=sharing"",""อุตรดิตถ์!J409"")"),0)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IFERROR(__xludf.DUMMYFUNCTION("IMPORTRANGE(""https://docs.google.com/spreadsheets/d/11923uPwbBZFjjGgGUA6NLw09EwE0CqkOc4q9oUmW1yo/edit?usp=sharing"",""อุตรดิตถ์!I410"")"),0)</f>
        <v>0</v>
      </c>
      <c r="J515" s="197">
        <f ca="1">IFERROR(__xludf.DUMMYFUNCTION("IMPORTRANGE(""https://docs.google.com/spreadsheets/d/11923uPwbBZFjjGgGUA6NLw09EwE0CqkOc4q9oUmW1yo/edit?usp=sharing"",""อุตรดิตถ์!J410"")"),0)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IFERROR(__xludf.DUMMYFUNCTION("IMPORTRANGE(""https://docs.google.com/spreadsheets/d/11923uPwbBZFjjGgGUA6NLw09EwE0CqkOc4q9oUmW1yo/edit?usp=sharing"",""อุตรดิตถ์!I411"")"),0)</f>
        <v>0</v>
      </c>
      <c r="J516" s="267">
        <f ca="1">IFERROR(__xludf.DUMMYFUNCTION("IMPORTRANGE(""https://docs.google.com/spreadsheets/d/11923uPwbBZFjjGgGUA6NLw09EwE0CqkOc4q9oUmW1yo/edit?usp=sharing"",""อุตรดิตถ์!J411"")"),0)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IFERROR(__xludf.DUMMYFUNCTION("IMPORTRANGE(""https://docs.google.com/spreadsheets/d/11923uPwbBZFjjGgGUA6NLw09EwE0CqkOc4q9oUmW1yo/edit?usp=sharing"",""อุตรดิตถ์!I412"")"),0)</f>
        <v>0</v>
      </c>
      <c r="J517" s="284">
        <f ca="1">IFERROR(__xludf.DUMMYFUNCTION("IMPORTRANGE(""https://docs.google.com/spreadsheets/d/11923uPwbBZFjjGgGUA6NLw09EwE0CqkOc4q9oUmW1yo/edit?usp=sharing"",""อุตรดิตถ์!J412"")"),0)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IFERROR(__xludf.DUMMYFUNCTION("IMPORTRANGE(""https://docs.google.com/spreadsheets/d/11923uPwbBZFjjGgGUA6NLw09EwE0CqkOc4q9oUmW1yo/edit?usp=sharing"",""อุตรดิตถ์!I413"")"),0)</f>
        <v>0</v>
      </c>
      <c r="J518" s="284">
        <f ca="1">IFERROR(__xludf.DUMMYFUNCTION("IMPORTRANGE(""https://docs.google.com/spreadsheets/d/11923uPwbBZFjjGgGUA6NLw09EwE0CqkOc4q9oUmW1yo/edit?usp=sharing"",""อุตรดิตถ์!J413"")"),0)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IFERROR(__xludf.DUMMYFUNCTION("IMPORTRANGE(""https://docs.google.com/spreadsheets/d/11923uPwbBZFjjGgGUA6NLw09EwE0CqkOc4q9oUmW1yo/edit?usp=sharing"",""อุตรดิตถ์!I414"")"),0)</f>
        <v>0</v>
      </c>
      <c r="J519" s="187">
        <f ca="1">IFERROR(__xludf.DUMMYFUNCTION("IMPORTRANGE(""https://docs.google.com/spreadsheets/d/11923uPwbBZFjjGgGUA6NLw09EwE0CqkOc4q9oUmW1yo/edit?usp=sharing"",""อุตรดิตถ์!J414"")"),0)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IFERROR(__xludf.DUMMYFUNCTION("IMPORTRANGE(""https://docs.google.com/spreadsheets/d/11923uPwbBZFjjGgGUA6NLw09EwE0CqkOc4q9oUmW1yo/edit?usp=sharing"",""อุตรดิตถ์!I415"")"),0)</f>
        <v>0</v>
      </c>
      <c r="J520" s="187">
        <f ca="1">IFERROR(__xludf.DUMMYFUNCTION("IMPORTRANGE(""https://docs.google.com/spreadsheets/d/11923uPwbBZFjjGgGUA6NLw09EwE0CqkOc4q9oUmW1yo/edit?usp=sharing"",""อุตรดิตถ์!J415"")"),0)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IFERROR(__xludf.DUMMYFUNCTION("IMPORTRANGE(""https://docs.google.com/spreadsheets/d/11923uPwbBZFjjGgGUA6NLw09EwE0CqkOc4q9oUmW1yo/edit?usp=sharing"",""อุตรดิตถ์!I416"")"),0)</f>
        <v>0</v>
      </c>
      <c r="J521" s="187">
        <f ca="1">IFERROR(__xludf.DUMMYFUNCTION("IMPORTRANGE(""https://docs.google.com/spreadsheets/d/11923uPwbBZFjjGgGUA6NLw09EwE0CqkOc4q9oUmW1yo/edit?usp=sharing"",""อุตรดิตถ์!J416"")"),0)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IFERROR(__xludf.DUMMYFUNCTION("IMPORTRANGE(""https://docs.google.com/spreadsheets/d/11923uPwbBZFjjGgGUA6NLw09EwE0CqkOc4q9oUmW1yo/edit?usp=sharing"",""อุตรดิตถ์!I417"")"),0)</f>
        <v>0</v>
      </c>
      <c r="J522" s="187">
        <f ca="1">IFERROR(__xludf.DUMMYFUNCTION("IMPORTRANGE(""https://docs.google.com/spreadsheets/d/11923uPwbBZFjjGgGUA6NLw09EwE0CqkOc4q9oUmW1yo/edit?usp=sharing"",""อุตรดิตถ์!J417"")"),0)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IFERROR(__xludf.DUMMYFUNCTION("IMPORTRANGE(""https://docs.google.com/spreadsheets/d/11923uPwbBZFjjGgGUA6NLw09EwE0CqkOc4q9oUmW1yo/edit?usp=sharing"",""อุตรดิตถ์!I418"")"),0)</f>
        <v>0</v>
      </c>
      <c r="J523" s="187">
        <f ca="1">IFERROR(__xludf.DUMMYFUNCTION("IMPORTRANGE(""https://docs.google.com/spreadsheets/d/11923uPwbBZFjjGgGUA6NLw09EwE0CqkOc4q9oUmW1yo/edit?usp=sharing"",""อุตรดิตถ์!J418"")"),3)</f>
        <v>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IFERROR(__xludf.DUMMYFUNCTION("IMPORTRANGE(""https://docs.google.com/spreadsheets/d/11923uPwbBZFjjGgGUA6NLw09EwE0CqkOc4q9oUmW1yo/edit?usp=sharing"",""อุตรดิตถ์!I419"")"),0)</f>
        <v>0</v>
      </c>
      <c r="J524" s="187">
        <f ca="1">IFERROR(__xludf.DUMMYFUNCTION("IMPORTRANGE(""https://docs.google.com/spreadsheets/d/11923uPwbBZFjjGgGUA6NLw09EwE0CqkOc4q9oUmW1yo/edit?usp=sharing"",""อุตรดิตถ์!J419"")"),2)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IFERROR(__xludf.DUMMYFUNCTION("IMPORTRANGE(""https://docs.google.com/spreadsheets/d/11923uPwbBZFjjGgGUA6NLw09EwE0CqkOc4q9oUmW1yo/edit?usp=sharing"",""อุตรดิตถ์!I420"")"),3)</f>
        <v>3</v>
      </c>
      <c r="J525" s="284">
        <f ca="1">IFERROR(__xludf.DUMMYFUNCTION("IMPORTRANGE(""https://docs.google.com/spreadsheets/d/11923uPwbBZFjjGgGUA6NLw09EwE0CqkOc4q9oUmW1yo/edit?usp=sharing"",""อุตรดิตถ์!J420"")"),0)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IFERROR(__xludf.DUMMYFUNCTION("IMPORTRANGE(""https://docs.google.com/spreadsheets/d/11923uPwbBZFjjGgGUA6NLw09EwE0CqkOc4q9oUmW1yo/edit?usp=sharing"",""อุตรดิตถ์!I421"")"),2)</f>
        <v>2</v>
      </c>
      <c r="J526" s="284">
        <f ca="1">IFERROR(__xludf.DUMMYFUNCTION("IMPORTRANGE(""https://docs.google.com/spreadsheets/d/11923uPwbBZFjjGgGUA6NLw09EwE0CqkOc4q9oUmW1yo/edit?usp=sharing"",""อุตรดิตถ์!J421"")"),0)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IFERROR(__xludf.DUMMYFUNCTION("IMPORTRANGE(""https://docs.google.com/spreadsheets/d/11923uPwbBZFjjGgGUA6NLw09EwE0CqkOc4q9oUmW1yo/edit?usp=sharing"",""อุตรดิตถ์!I422"")"),0)</f>
        <v>0</v>
      </c>
      <c r="J527" s="197">
        <f ca="1">IFERROR(__xludf.DUMMYFUNCTION("IMPORTRANGE(""https://docs.google.com/spreadsheets/d/11923uPwbBZFjjGgGUA6NLw09EwE0CqkOc4q9oUmW1yo/edit?usp=sharing"",""อุตรดิตถ์!J422"")"),0)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IFERROR(__xludf.DUMMYFUNCTION("IMPORTRANGE(""https://docs.google.com/spreadsheets/d/11923uPwbBZFjjGgGUA6NLw09EwE0CqkOc4q9oUmW1yo/edit?usp=sharing"",""อุตรดิตถ์!I423"")"),0)</f>
        <v>0</v>
      </c>
      <c r="J528" s="197">
        <f ca="1">IFERROR(__xludf.DUMMYFUNCTION("IMPORTRANGE(""https://docs.google.com/spreadsheets/d/11923uPwbBZFjjGgGUA6NLw09EwE0CqkOc4q9oUmW1yo/edit?usp=sharing"",""อุตรดิตถ์!J423"")"),0)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IFERROR(__xludf.DUMMYFUNCTION("IMPORTRANGE(""https://docs.google.com/spreadsheets/d/11923uPwbBZFjjGgGUA6NLw09EwE0CqkOc4q9oUmW1yo/edit?usp=sharing"",""อุตรดิตถ์!I424"")"),0)</f>
        <v>0</v>
      </c>
      <c r="J529" s="197">
        <f ca="1">IFERROR(__xludf.DUMMYFUNCTION("IMPORTRANGE(""https://docs.google.com/spreadsheets/d/11923uPwbBZFjjGgGUA6NLw09EwE0CqkOc4q9oUmW1yo/edit?usp=sharing"",""อุตรดิตถ์!J424"")"),0)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IFERROR(__xludf.DUMMYFUNCTION("IMPORTRANGE(""https://docs.google.com/spreadsheets/d/11923uPwbBZFjjGgGUA6NLw09EwE0CqkOc4q9oUmW1yo/edit?usp=sharing"",""อุตรดิตถ์!I425"")"),0)</f>
        <v>0</v>
      </c>
      <c r="J530" s="197">
        <f ca="1">IFERROR(__xludf.DUMMYFUNCTION("IMPORTRANGE(""https://docs.google.com/spreadsheets/d/11923uPwbBZFjjGgGUA6NLw09EwE0CqkOc4q9oUmW1yo/edit?usp=sharing"",""อุตรดิตถ์!J425"")"),0)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IFERROR(__xludf.DUMMYFUNCTION("IMPORTRANGE(""https://docs.google.com/spreadsheets/d/11923uPwbBZFjjGgGUA6NLw09EwE0CqkOc4q9oUmW1yo/edit?usp=sharing"",""อุตรดิตถ์!I426"")"),0)</f>
        <v>0</v>
      </c>
      <c r="J531" s="197">
        <f ca="1">IFERROR(__xludf.DUMMYFUNCTION("IMPORTRANGE(""https://docs.google.com/spreadsheets/d/11923uPwbBZFjjGgGUA6NLw09EwE0CqkOc4q9oUmW1yo/edit?usp=sharing"",""อุตรดิตถ์!J426"")"),0)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IFERROR(__xludf.DUMMYFUNCTION("IMPORTRANGE(""https://docs.google.com/spreadsheets/d/11923uPwbBZFjjGgGUA6NLw09EwE0CqkOc4q9oUmW1yo/edit?usp=sharing"",""อุตรดิตถ์!I427"")"),0)</f>
        <v>0</v>
      </c>
      <c r="J532" s="466">
        <f ca="1">IFERROR(__xludf.DUMMYFUNCTION("IMPORTRANGE(""https://docs.google.com/spreadsheets/d/11923uPwbBZFjjGgGUA6NLw09EwE0CqkOc4q9oUmW1yo/edit?usp=sharing"",""อุตรดิตถ์!J427"")"),0)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IFERROR(__xludf.DUMMYFUNCTION("IMPORTRANGE(""https://docs.google.com/spreadsheets/d/11923uPwbBZFjjGgGUA6NLw09EwE0CqkOc4q9oUmW1yo/edit?usp=sharing"",""อุตรดิตถ์!I428"")"),22)</f>
        <v>22</v>
      </c>
      <c r="J533" s="409">
        <f ca="1">IFERROR(__xludf.DUMMYFUNCTION("IMPORTRANGE(""https://docs.google.com/spreadsheets/d/11923uPwbBZFjjGgGUA6NLw09EwE0CqkOc4q9oUmW1yo/edit?usp=sharing"",""อุตรดิตถ์!J428"")"),22)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IFERROR(__xludf.DUMMYFUNCTION("IMPORTRANGE(""https://docs.google.com/spreadsheets/d/11923uPwbBZFjjGgGUA6NLw09EwE0CqkOc4q9oUmW1yo/edit?usp=sharing"",""อุตรดิตถ์!L428"")"),34340)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IFERROR(__xludf.DUMMYFUNCTION("IMPORTRANGE(""https://docs.google.com/spreadsheets/d/11923uPwbBZFjjGgGUA6NLw09EwE0CqkOc4q9oUmW1yo/edit?usp=sharing"",""อุตรดิตถ์!M428"")"),23281)</f>
        <v>23281</v>
      </c>
      <c r="O533" s="411">
        <f t="shared" ref="O533:O537" ca="1" si="118">+IF(L533&gt;0,N533*100/L533,0)</f>
        <v>67.795573675014566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IFERROR(__xludf.DUMMYFUNCTION("IMPORTRANGE(""https://docs.google.com/spreadsheets/d/11923uPwbBZFjjGgGUA6NLw09EwE0CqkOc4q9oUmW1yo/edit?usp=sharing"",""อุตรดิตถ์!L429"")"),0)</f>
        <v>0</v>
      </c>
      <c r="M534" s="164"/>
      <c r="N534" s="168">
        <f ca="1">IFERROR(__xludf.DUMMYFUNCTION("IMPORTRANGE(""https://docs.google.com/spreadsheets/d/11923uPwbBZFjjGgGUA6NLw09EwE0CqkOc4q9oUmW1yo/edit?usp=sharing"",""อุตรดิตถ์!M429"")"),0)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IFERROR(__xludf.DUMMYFUNCTION("IMPORTRANGE(""https://docs.google.com/spreadsheets/d/11923uPwbBZFjjGgGUA6NLw09EwE0CqkOc4q9oUmW1yo/edit?usp=sharing"",""อุตรดิตถ์!L430"")"),34340)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IFERROR(__xludf.DUMMYFUNCTION("IMPORTRANGE(""https://docs.google.com/spreadsheets/d/11923uPwbBZFjjGgGUA6NLw09EwE0CqkOc4q9oUmW1yo/edit?usp=sharing"",""อุตรดิตถ์!M430"")"),23281)</f>
        <v>23281</v>
      </c>
      <c r="O535" s="168">
        <f t="shared" ca="1" si="118"/>
        <v>67.795573675014566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IFERROR(__xludf.DUMMYFUNCTION("IMPORTRANGE(""https://docs.google.com/spreadsheets/d/11923uPwbBZFjjGgGUA6NLw09EwE0CqkOc4q9oUmW1yo/edit?usp=sharing"",""อุตรดิตถ์!L431"")"),0)</f>
        <v>0</v>
      </c>
      <c r="M536" s="168"/>
      <c r="N536" s="168">
        <f ca="1">IFERROR(__xludf.DUMMYFUNCTION("IMPORTRANGE(""https://docs.google.com/spreadsheets/d/11923uPwbBZFjjGgGUA6NLw09EwE0CqkOc4q9oUmW1yo/edit?usp=sharing"",""อุตรดิตถ์!M431"")"),0)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IFERROR(__xludf.DUMMYFUNCTION("IMPORTRANGE(""https://docs.google.com/spreadsheets/d/11923uPwbBZFjjGgGUA6NLw09EwE0CqkOc4q9oUmW1yo/edit?usp=sharing"",""อุตรดิตถ์!L432"")"),34340)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IFERROR(__xludf.DUMMYFUNCTION("IMPORTRANGE(""https://docs.google.com/spreadsheets/d/11923uPwbBZFjjGgGUA6NLw09EwE0CqkOc4q9oUmW1yo/edit?usp=sharing"",""อุตรดิตถ์!M432"")"),23281)</f>
        <v>23281</v>
      </c>
      <c r="O537" s="168">
        <f t="shared" ca="1" si="118"/>
        <v>67.795573675014566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IFERROR(__xludf.DUMMYFUNCTION("IMPORTRANGE(""https://docs.google.com/spreadsheets/d/11923uPwbBZFjjGgGUA6NLw09EwE0CqkOc4q9oUmW1yo/edit?usp=sharing"",""อุตรดิตถ์!M433"")"),18740)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IFERROR(__xludf.DUMMYFUNCTION("IMPORTRANGE(""https://docs.google.com/spreadsheets/d/11923uPwbBZFjjGgGUA6NLw09EwE0CqkOc4q9oUmW1yo/edit?usp=sharing"",""อุตรดิตถ์!M434"")"),0)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IFERROR(__xludf.DUMMYFUNCTION("IMPORTRANGE(""https://docs.google.com/spreadsheets/d/11923uPwbBZFjjGgGUA6NLw09EwE0CqkOc4q9oUmW1yo/edit?usp=sharing"",""อุตรดิตถ์!M435"")"),0)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IFERROR(__xludf.DUMMYFUNCTION("IMPORTRANGE(""https://docs.google.com/spreadsheets/d/11923uPwbBZFjjGgGUA6NLw09EwE0CqkOc4q9oUmW1yo/edit?usp=sharing"",""อุตรดิตถ์!M436"")"),4541)</f>
        <v>4541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IFERROR(__xludf.DUMMYFUNCTION("IMPORTRANGE(""https://docs.google.com/spreadsheets/d/11923uPwbBZFjjGgGUA6NLw09EwE0CqkOc4q9oUmW1yo/edit?usp=sharing"",""อุตรดิตถ์!J438"")"),0)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IFERROR(__xludf.DUMMYFUNCTION("IMPORTRANGE(""https://docs.google.com/spreadsheets/d/11923uPwbBZFjjGgGUA6NLw09EwE0CqkOc4q9oUmW1yo/edit?usp=sharing"",""อุตรดิตถ์!J439"")"),1)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IFERROR(__xludf.DUMMYFUNCTION("IMPORTRANGE(""https://docs.google.com/spreadsheets/d/11923uPwbBZFjjGgGUA6NLw09EwE0CqkOc4q9oUmW1yo/edit?usp=sharing"",""อุตรดิตถ์!J440"")"),1)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IFERROR(__xludf.DUMMYFUNCTION("IMPORTRANGE(""https://docs.google.com/spreadsheets/d/11923uPwbBZFjjGgGUA6NLw09EwE0CqkOc4q9oUmW1yo/edit?usp=sharing"",""อุตรดิตถ์!J441"")"),1)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IFERROR(__xludf.DUMMYFUNCTION("IMPORTRANGE(""https://docs.google.com/spreadsheets/d/11923uPwbBZFjjGgGUA6NLw09EwE0CqkOc4q9oUmW1yo/edit?usp=sharing"",""อุตรดิตถ์!I442"")"),22)</f>
        <v>22</v>
      </c>
      <c r="J547" s="188">
        <f ca="1">IFERROR(__xludf.DUMMYFUNCTION("IMPORTRANGE(""https://docs.google.com/spreadsheets/d/11923uPwbBZFjjGgGUA6NLw09EwE0CqkOc4q9oUmW1yo/edit?usp=sharing"",""อุตรดิตถ์!J442"")"),22)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IFERROR(__xludf.DUMMYFUNCTION("IMPORTRANGE(""https://docs.google.com/spreadsheets/d/11923uPwbBZFjjGgGUA6NLw09EwE0CqkOc4q9oUmW1yo/edit?usp=sharing"",""อุตรดิตถ์!J166"")"),0)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IFERROR(__xludf.DUMMYFUNCTION("IMPORTRANGE(""https://docs.google.com/spreadsheets/d/11923uPwbBZFjjGgGUA6NLw09EwE0CqkOc4q9oUmW1yo/edit?usp=sharing"",""อุตรดิตถ์!J444"")"),0)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IFERROR(__xludf.DUMMYFUNCTION("IMPORTRANGE(""https://docs.google.com/spreadsheets/d/11923uPwbBZFjjGgGUA6NLw09EwE0CqkOc4q9oUmW1yo/edit?usp=sharing"",""อุตรดิตถ์!J445"")"),0)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IFERROR(__xludf.DUMMYFUNCTION("IMPORTRANGE(""https://docs.google.com/spreadsheets/d/11923uPwbBZFjjGgGUA6NLw09EwE0CqkOc4q9oUmW1yo/edit?usp=sharing"",""อุตรดิตถ์!I446"")"),5000)</f>
        <v>5000</v>
      </c>
      <c r="J551" s="409">
        <f ca="1">IFERROR(__xludf.DUMMYFUNCTION("IMPORTRANGE(""https://docs.google.com/spreadsheets/d/11923uPwbBZFjjGgGUA6NLw09EwE0CqkOc4q9oUmW1yo/edit?usp=sharing"",""อุตรดิตถ์!J446"")"),4894)</f>
        <v>4894</v>
      </c>
      <c r="K551" s="410">
        <f ca="1">IF(I551&gt;0,J551*100/I551,0)</f>
        <v>97.88</v>
      </c>
      <c r="L551" s="411">
        <f ca="1">IFERROR(__xludf.DUMMYFUNCTION("IMPORTRANGE(""https://docs.google.com/spreadsheets/d/11923uPwbBZFjjGgGUA6NLw09EwE0CqkOc4q9oUmW1yo/edit?usp=sharing"",""อุตรดิตถ์!L446"")"),300000)</f>
        <v>300000</v>
      </c>
      <c r="M551" s="411"/>
      <c r="N551" s="411">
        <f ca="1">IFERROR(__xludf.DUMMYFUNCTION("IMPORTRANGE(""https://docs.google.com/spreadsheets/d/11923uPwbBZFjjGgGUA6NLw09EwE0CqkOc4q9oUmW1yo/edit?usp=sharing"",""อุตรดิตถ์!M446"")"),288444.2)</f>
        <v>288444.2</v>
      </c>
      <c r="O551" s="411">
        <f t="shared" ref="O551:O555" ca="1" si="120">+IF(L551&gt;0,N551*100/L551,0)</f>
        <v>96.148066666666665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IFERROR(__xludf.DUMMYFUNCTION("IMPORTRANGE(""https://docs.google.com/spreadsheets/d/11923uPwbBZFjjGgGUA6NLw09EwE0CqkOc4q9oUmW1yo/edit?usp=sharing"",""อุตรดิตถ์!L447"")"),0)</f>
        <v>0</v>
      </c>
      <c r="M552" s="164"/>
      <c r="N552" s="168">
        <f ca="1">IFERROR(__xludf.DUMMYFUNCTION("IMPORTRANGE(""https://docs.google.com/spreadsheets/d/11923uPwbBZFjjGgGUA6NLw09EwE0CqkOc4q9oUmW1yo/edit?usp=sharing"",""อุตรดิตถ์!M447"")"),0)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IFERROR(__xludf.DUMMYFUNCTION("IMPORTRANGE(""https://docs.google.com/spreadsheets/d/11923uPwbBZFjjGgGUA6NLw09EwE0CqkOc4q9oUmW1yo/edit?usp=sharing"",""อุตรดิตถ์!L448"")"),300000)</f>
        <v>300000</v>
      </c>
      <c r="M553" s="165"/>
      <c r="N553" s="168">
        <f ca="1">IFERROR(__xludf.DUMMYFUNCTION("IMPORTRANGE(""https://docs.google.com/spreadsheets/d/11923uPwbBZFjjGgGUA6NLw09EwE0CqkOc4q9oUmW1yo/edit?usp=sharing"",""อุตรดิตถ์!M448"")"),288444.2)</f>
        <v>288444.2</v>
      </c>
      <c r="O553" s="168">
        <f t="shared" ca="1" si="120"/>
        <v>96.148066666666665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IFERROR(__xludf.DUMMYFUNCTION("IMPORTRANGE(""https://docs.google.com/spreadsheets/d/11923uPwbBZFjjGgGUA6NLw09EwE0CqkOc4q9oUmW1yo/edit?usp=sharing"",""อุตรดิตถ์!L449"")"),0)</f>
        <v>0</v>
      </c>
      <c r="M554" s="168"/>
      <c r="N554" s="168">
        <f ca="1">IFERROR(__xludf.DUMMYFUNCTION("IMPORTRANGE(""https://docs.google.com/spreadsheets/d/11923uPwbBZFjjGgGUA6NLw09EwE0CqkOc4q9oUmW1yo/edit?usp=sharing"",""อุตรดิตถ์!M449"")"),0)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IFERROR(__xludf.DUMMYFUNCTION("IMPORTRANGE(""https://docs.google.com/spreadsheets/d/11923uPwbBZFjjGgGUA6NLw09EwE0CqkOc4q9oUmW1yo/edit?usp=sharing"",""อุตรดิตถ์!L450"")"),300000)</f>
        <v>300000</v>
      </c>
      <c r="M555" s="168"/>
      <c r="N555" s="168">
        <f ca="1">IFERROR(__xludf.DUMMYFUNCTION("IMPORTRANGE(""https://docs.google.com/spreadsheets/d/11923uPwbBZFjjGgGUA6NLw09EwE0CqkOc4q9oUmW1yo/edit?usp=sharing"",""อุตรดิตถ์!M450"")"),288444.2)</f>
        <v>288444.2</v>
      </c>
      <c r="O555" s="168">
        <f t="shared" ca="1" si="120"/>
        <v>96.148066666666665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IFERROR(__xludf.DUMMYFUNCTION("IMPORTRANGE(""https://docs.google.com/spreadsheets/d/11923uPwbBZFjjGgGUA6NLw09EwE0CqkOc4q9oUmW1yo/edit?usp=sharing"",""อุตรดิตถ์!M451"")"),0)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IFERROR(__xludf.DUMMYFUNCTION("IMPORTRANGE(""https://docs.google.com/spreadsheets/d/11923uPwbBZFjjGgGUA6NLw09EwE0CqkOc4q9oUmW1yo/edit?usp=sharing"",""อุตรดิตถ์!M452"")"),0)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IFERROR(__xludf.DUMMYFUNCTION("IMPORTRANGE(""https://docs.google.com/spreadsheets/d/11923uPwbBZFjjGgGUA6NLw09EwE0CqkOc4q9oUmW1yo/edit?usp=sharing"",""อุตรดิตถ์!M453"")"),71400)</f>
        <v>71400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IFERROR(__xludf.DUMMYFUNCTION("IMPORTRANGE(""https://docs.google.com/spreadsheets/d/11923uPwbBZFjjGgGUA6NLw09EwE0CqkOc4q9oUmW1yo/edit?usp=sharing"",""อุตรดิตถ์!M454"")"),217044.2)</f>
        <v>217044.2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IFERROR(__xludf.DUMMYFUNCTION("IMPORTRANGE(""https://docs.google.com/spreadsheets/d/11923uPwbBZFjjGgGUA6NLw09EwE0CqkOc4q9oUmW1yo/edit?usp=sharing"",""อุตรดิตถ์!I455"")"),5000)</f>
        <v>5000</v>
      </c>
      <c r="J560" s="162">
        <f ca="1">IFERROR(__xludf.DUMMYFUNCTION("IMPORTRANGE(""https://docs.google.com/spreadsheets/d/11923uPwbBZFjjGgGUA6NLw09EwE0CqkOc4q9oUmW1yo/edit?usp=sharing"",""อุตรดิตถ์!J455"")"),4894)</f>
        <v>4894</v>
      </c>
      <c r="K560" s="224">
        <f t="shared" ref="K560:K561" ca="1" si="121">IF(I560&gt;0,J560*100/I560,0)</f>
        <v>97.88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IFERROR(__xludf.DUMMYFUNCTION("IMPORTRANGE(""https://docs.google.com/spreadsheets/d/11923uPwbBZFjjGgGUA6NLw09EwE0CqkOc4q9oUmW1yo/edit?usp=sharing"",""อุตรดิตถ์!I456"")"),0)</f>
        <v>0</v>
      </c>
      <c r="J561" s="203">
        <f ca="1">IFERROR(__xludf.DUMMYFUNCTION("IMPORTRANGE(""https://docs.google.com/spreadsheets/d/11923uPwbBZFjjGgGUA6NLw09EwE0CqkOc4q9oUmW1yo/edit?usp=sharing"",""อุตรดิตถ์!J456"")"),657)</f>
        <v>657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IFERROR(__xludf.DUMMYFUNCTION("IMPORTRANGE(""https://docs.google.com/spreadsheets/d/11923uPwbBZFjjGgGUA6NLw09EwE0CqkOc4q9oUmW1yo/edit?usp=sharing"",""อุตรดิตถ์!I459"")"),1100)</f>
        <v>1100</v>
      </c>
      <c r="J564" s="370">
        <f ca="1">IFERROR(__xludf.DUMMYFUNCTION("IMPORTRANGE(""https://docs.google.com/spreadsheets/d/11923uPwbBZFjjGgGUA6NLw09EwE0CqkOc4q9oUmW1yo/edit?usp=sharing"",""อุตรดิตถ์!J459"")"),3021)</f>
        <v>3021</v>
      </c>
      <c r="K564" s="371">
        <f ca="1">IF(I564&gt;0,J564*100/I564,0)</f>
        <v>274.63636363636363</v>
      </c>
      <c r="L564" s="372">
        <f ca="1">IFERROR(__xludf.DUMMYFUNCTION("IMPORTRANGE(""https://docs.google.com/spreadsheets/d/11923uPwbBZFjjGgGUA6NLw09EwE0CqkOc4q9oUmW1yo/edit?usp=sharing"",""อุตรดิตถ์!L459"")"),127280)</f>
        <v>127280</v>
      </c>
      <c r="M564" s="372"/>
      <c r="N564" s="372">
        <f ca="1">IFERROR(__xludf.DUMMYFUNCTION("IMPORTRANGE(""https://docs.google.com/spreadsheets/d/11923uPwbBZFjjGgGUA6NLw09EwE0CqkOc4q9oUmW1yo/edit?usp=sharing"",""อุตรดิตถ์!M459"")"),96084)</f>
        <v>96084</v>
      </c>
      <c r="O564" s="372">
        <f t="shared" ref="O564:O568" ca="1" si="122">+IF(L564&gt;0,N564*100/L564,0)</f>
        <v>75.490257699560019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IFERROR(__xludf.DUMMYFUNCTION("IMPORTRANGE(""https://docs.google.com/spreadsheets/d/11923uPwbBZFjjGgGUA6NLw09EwE0CqkOc4q9oUmW1yo/edit?usp=sharing"",""อุตรดิตถ์!L460"")"),0)</f>
        <v>0</v>
      </c>
      <c r="M565" s="164"/>
      <c r="N565" s="168">
        <f ca="1">IFERROR(__xludf.DUMMYFUNCTION("IMPORTRANGE(""https://docs.google.com/spreadsheets/d/11923uPwbBZFjjGgGUA6NLw09EwE0CqkOc4q9oUmW1yo/edit?usp=sharing"",""อุตรดิตถ์!M460"")"),0)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IFERROR(__xludf.DUMMYFUNCTION("IMPORTRANGE(""https://docs.google.com/spreadsheets/d/11923uPwbBZFjjGgGUA6NLw09EwE0CqkOc4q9oUmW1yo/edit?usp=sharing"",""อุตรดิตถ์!L461"")"),127280)</f>
        <v>127280</v>
      </c>
      <c r="M566" s="165"/>
      <c r="N566" s="168">
        <f ca="1">IFERROR(__xludf.DUMMYFUNCTION("IMPORTRANGE(""https://docs.google.com/spreadsheets/d/11923uPwbBZFjjGgGUA6NLw09EwE0CqkOc4q9oUmW1yo/edit?usp=sharing"",""อุตรดิตถ์!M461"")"),96084)</f>
        <v>96084</v>
      </c>
      <c r="O566" s="168">
        <f t="shared" ca="1" si="122"/>
        <v>75.490257699560019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IFERROR(__xludf.DUMMYFUNCTION("IMPORTRANGE(""https://docs.google.com/spreadsheets/d/11923uPwbBZFjjGgGUA6NLw09EwE0CqkOc4q9oUmW1yo/edit?usp=sharing"",""อุตรดิตถ์!L462"")"),0)</f>
        <v>0</v>
      </c>
      <c r="M567" s="168"/>
      <c r="N567" s="168">
        <f ca="1">IFERROR(__xludf.DUMMYFUNCTION("IMPORTRANGE(""https://docs.google.com/spreadsheets/d/11923uPwbBZFjjGgGUA6NLw09EwE0CqkOc4q9oUmW1yo/edit?usp=sharing"",""อุตรดิตถ์!M462"")"),0)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IFERROR(__xludf.DUMMYFUNCTION("IMPORTRANGE(""https://docs.google.com/spreadsheets/d/11923uPwbBZFjjGgGUA6NLw09EwE0CqkOc4q9oUmW1yo/edit?usp=sharing"",""อุตรดิตถ์!L463"")"),127280)</f>
        <v>127280</v>
      </c>
      <c r="M568" s="168"/>
      <c r="N568" s="168">
        <f ca="1">IFERROR(__xludf.DUMMYFUNCTION("IMPORTRANGE(""https://docs.google.com/spreadsheets/d/11923uPwbBZFjjGgGUA6NLw09EwE0CqkOc4q9oUmW1yo/edit?usp=sharing"",""อุตรดิตถ์!M463"")"),96084)</f>
        <v>96084</v>
      </c>
      <c r="O568" s="168">
        <f t="shared" ca="1" si="122"/>
        <v>75.490257699560019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IFERROR(__xludf.DUMMYFUNCTION("IMPORTRANGE(""https://docs.google.com/spreadsheets/d/11923uPwbBZFjjGgGUA6NLw09EwE0CqkOc4q9oUmW1yo/edit?usp=sharing"",""อุตรดิตถ์!M464"")"),0)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IFERROR(__xludf.DUMMYFUNCTION("IMPORTRANGE(""https://docs.google.com/spreadsheets/d/11923uPwbBZFjjGgGUA6NLw09EwE0CqkOc4q9oUmW1yo/edit?usp=sharing"",""อุตรดิตถ์!M465"")"),0)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IFERROR(__xludf.DUMMYFUNCTION("IMPORTRANGE(""https://docs.google.com/spreadsheets/d/11923uPwbBZFjjGgGUA6NLw09EwE0CqkOc4q9oUmW1yo/edit?usp=sharing"",""อุตรดิตถ์!M466"")"),74128)</f>
        <v>74128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IFERROR(__xludf.DUMMYFUNCTION("IMPORTRANGE(""https://docs.google.com/spreadsheets/d/11923uPwbBZFjjGgGUA6NLw09EwE0CqkOc4q9oUmW1yo/edit?usp=sharing"",""อุตรดิตถ์!M467"")"),21956)</f>
        <v>21956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IFERROR(__xludf.DUMMYFUNCTION("IMPORTRANGE(""https://docs.google.com/spreadsheets/d/11923uPwbBZFjjGgGUA6NLw09EwE0CqkOc4q9oUmW1yo/edit?usp=sharing"",""อุตรดิตถ์!I468"")"),1100)</f>
        <v>1100</v>
      </c>
      <c r="J573" s="420">
        <f ca="1">IFERROR(__xludf.DUMMYFUNCTION("IMPORTRANGE(""https://docs.google.com/spreadsheets/d/11923uPwbBZFjjGgGUA6NLw09EwE0CqkOc4q9oUmW1yo/edit?usp=sharing"",""อุตรดิตถ์!J468"")"),3021)</f>
        <v>3021</v>
      </c>
      <c r="K573" s="201">
        <f ca="1">IF(I573&gt;0,J573*100/I573,0)</f>
        <v>274.63636363636363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IFERROR(__xludf.DUMMYFUNCTION("IMPORTRANGE(""https://docs.google.com/spreadsheets/d/11923uPwbBZFjjGgGUA6NLw09EwE0CqkOc4q9oUmW1yo/edit?usp=sharing"",""อุตรดิตถ์!I470"")"),0)</f>
        <v>0</v>
      </c>
      <c r="J575" s="197">
        <f ca="1">IFERROR(__xludf.DUMMYFUNCTION("IMPORTRANGE(""https://docs.google.com/spreadsheets/d/11923uPwbBZFjjGgGUA6NLw09EwE0CqkOc4q9oUmW1yo/edit?usp=sharing"",""อุตรดิตถ์!J470"")"),5)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IFERROR(__xludf.DUMMYFUNCTION("IMPORTRANGE(""https://docs.google.com/spreadsheets/d/11923uPwbBZFjjGgGUA6NLw09EwE0CqkOc4q9oUmW1yo/edit?usp=sharing"",""อุตรดิตถ์!I471"")"),0)</f>
        <v>0</v>
      </c>
      <c r="J576" s="197">
        <f ca="1">IFERROR(__xludf.DUMMYFUNCTION("IMPORTRANGE(""https://docs.google.com/spreadsheets/d/11923uPwbBZFjjGgGUA6NLw09EwE0CqkOc4q9oUmW1yo/edit?usp=sharing"",""อุตรดิตถ์!J471"")"),298)</f>
        <v>298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IFERROR(__xludf.DUMMYFUNCTION("IMPORTRANGE(""https://docs.google.com/spreadsheets/d/11923uPwbBZFjjGgGUA6NLw09EwE0CqkOc4q9oUmW1yo/edit?usp=sharing"",""อุตรดิตถ์!I472"")"),0)</f>
        <v>0</v>
      </c>
      <c r="J577" s="188">
        <f ca="1">IFERROR(__xludf.DUMMYFUNCTION("IMPORTRANGE(""https://docs.google.com/spreadsheets/d/11923uPwbBZFjjGgGUA6NLw09EwE0CqkOc4q9oUmW1yo/edit?usp=sharing"",""อุตรดิตถ์!J472"")"),2054)</f>
        <v>2054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IFERROR(__xludf.DUMMYFUNCTION("IMPORTRANGE(""https://docs.google.com/spreadsheets/d/11923uPwbBZFjjGgGUA6NLw09EwE0CqkOc4q9oUmW1yo/edit?usp=sharing"",""อุตรดิตถ์!I473"")"),0)</f>
        <v>0</v>
      </c>
      <c r="J578" s="197">
        <f ca="1">IFERROR(__xludf.DUMMYFUNCTION("IMPORTRANGE(""https://docs.google.com/spreadsheets/d/11923uPwbBZFjjGgGUA6NLw09EwE0CqkOc4q9oUmW1yo/edit?usp=sharing"",""อุตรดิตถ์!J473"")"),0)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IFERROR(__xludf.DUMMYFUNCTION("IMPORTRANGE(""https://docs.google.com/spreadsheets/d/11923uPwbBZFjjGgGUA6NLw09EwE0CqkOc4q9oUmW1yo/edit?usp=sharing"",""อุตรดิตถ์!I474"")"),0)</f>
        <v>0</v>
      </c>
      <c r="J579" s="197">
        <f ca="1">IFERROR(__xludf.DUMMYFUNCTION("IMPORTRANGE(""https://docs.google.com/spreadsheets/d/11923uPwbBZFjjGgGUA6NLw09EwE0CqkOc4q9oUmW1yo/edit?usp=sharing"",""อุตรดิตถ์!J474"")"),669)</f>
        <v>669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IFERROR(__xludf.DUMMYFUNCTION("IMPORTRANGE(""https://docs.google.com/spreadsheets/d/11923uPwbBZFjjGgGUA6NLw09EwE0CqkOc4q9oUmW1yo/edit?usp=sharing"",""อุตรดิตถ์!I475"")"),0)</f>
        <v>0</v>
      </c>
      <c r="J580" s="370">
        <f ca="1">IFERROR(__xludf.DUMMYFUNCTION("IMPORTRANGE(""https://docs.google.com/spreadsheets/d/11923uPwbBZFjjGgGUA6NLw09EwE0CqkOc4q9oUmW1yo/edit?usp=sharing"",""อุตรดิตถ์!J475"")"),0)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IFERROR(__xludf.DUMMYFUNCTION("IMPORTRANGE(""https://docs.google.com/spreadsheets/d/11923uPwbBZFjjGgGUA6NLw09EwE0CqkOc4q9oUmW1yo/edit?usp=sharing"",""อุตรดิตถ์!L475"")"),0)</f>
        <v>0</v>
      </c>
      <c r="M580" s="372"/>
      <c r="N580" s="372">
        <f ca="1">IFERROR(__xludf.DUMMYFUNCTION("IMPORTRANGE(""https://docs.google.com/spreadsheets/d/11923uPwbBZFjjGgGUA6NLw09EwE0CqkOc4q9oUmW1yo/edit?usp=sharing"",""อุตรดิตถ์!M475"")"),0)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IFERROR(__xludf.DUMMYFUNCTION("IMPORTRANGE(""https://docs.google.com/spreadsheets/d/11923uPwbBZFjjGgGUA6NLw09EwE0CqkOc4q9oUmW1yo/edit?usp=sharing"",""อุตรดิตถ์!L476"")"),0)</f>
        <v>0</v>
      </c>
      <c r="M581" s="164"/>
      <c r="N581" s="168">
        <f ca="1">IFERROR(__xludf.DUMMYFUNCTION("IMPORTRANGE(""https://docs.google.com/spreadsheets/d/11923uPwbBZFjjGgGUA6NLw09EwE0CqkOc4q9oUmW1yo/edit?usp=sharing"",""อุตรดิตถ์!M476"")"),0)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IFERROR(__xludf.DUMMYFUNCTION("IMPORTRANGE(""https://docs.google.com/spreadsheets/d/11923uPwbBZFjjGgGUA6NLw09EwE0CqkOc4q9oUmW1yo/edit?usp=sharing"",""อุตรดิตถ์!L477"")"),0)</f>
        <v>0</v>
      </c>
      <c r="M582" s="165"/>
      <c r="N582" s="168">
        <f ca="1">IFERROR(__xludf.DUMMYFUNCTION("IMPORTRANGE(""https://docs.google.com/spreadsheets/d/11923uPwbBZFjjGgGUA6NLw09EwE0CqkOc4q9oUmW1yo/edit?usp=sharing"",""อุตรดิตถ์!M477"")"),0)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IFERROR(__xludf.DUMMYFUNCTION("IMPORTRANGE(""https://docs.google.com/spreadsheets/d/11923uPwbBZFjjGgGUA6NLw09EwE0CqkOc4q9oUmW1yo/edit?usp=sharing"",""อุตรดิตถ์!L478"")"),0)</f>
        <v>0</v>
      </c>
      <c r="M583" s="168"/>
      <c r="N583" s="168">
        <f ca="1">IFERROR(__xludf.DUMMYFUNCTION("IMPORTRANGE(""https://docs.google.com/spreadsheets/d/11923uPwbBZFjjGgGUA6NLw09EwE0CqkOc4q9oUmW1yo/edit?usp=sharing"",""อุตรดิตถ์!M478"")"),0)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IFERROR(__xludf.DUMMYFUNCTION("IMPORTRANGE(""https://docs.google.com/spreadsheets/d/11923uPwbBZFjjGgGUA6NLw09EwE0CqkOc4q9oUmW1yo/edit?usp=sharing"",""อุตรดิตถ์!L479"")"),0)</f>
        <v>0</v>
      </c>
      <c r="M584" s="168"/>
      <c r="N584" s="168">
        <f ca="1">IFERROR(__xludf.DUMMYFUNCTION("IMPORTRANGE(""https://docs.google.com/spreadsheets/d/11923uPwbBZFjjGgGUA6NLw09EwE0CqkOc4q9oUmW1yo/edit?usp=sharing"",""อุตรดิตถ์!M479"")"),0)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IFERROR(__xludf.DUMMYFUNCTION("IMPORTRANGE(""https://docs.google.com/spreadsheets/d/11923uPwbBZFjjGgGUA6NLw09EwE0CqkOc4q9oUmW1yo/edit?usp=sharing"",""อุตรดิตถ์!M480"")"),0)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IFERROR(__xludf.DUMMYFUNCTION("IMPORTRANGE(""https://docs.google.com/spreadsheets/d/11923uPwbBZFjjGgGUA6NLw09EwE0CqkOc4q9oUmW1yo/edit?usp=sharing"",""อุตรดิตถ์!M481"")"),0)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IFERROR(__xludf.DUMMYFUNCTION("IMPORTRANGE(""https://docs.google.com/spreadsheets/d/11923uPwbBZFjjGgGUA6NLw09EwE0CqkOc4q9oUmW1yo/edit?usp=sharing"",""อุตรดิตถ์!M482"")"),0)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IFERROR(__xludf.DUMMYFUNCTION("IMPORTRANGE(""https://docs.google.com/spreadsheets/d/11923uPwbBZFjjGgGUA6NLw09EwE0CqkOc4q9oUmW1yo/edit?usp=sharing"",""อุตรดิตถ์!M483"")"),0)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IFERROR(__xludf.DUMMYFUNCTION("IMPORTRANGE(""https://docs.google.com/spreadsheets/d/11923uPwbBZFjjGgGUA6NLw09EwE0CqkOc4q9oUmW1yo/edit?usp=sharing"",""อุตรดิตถ์!I484"")"),0)</f>
        <v>0</v>
      </c>
      <c r="J589" s="187">
        <f ca="1">IFERROR(__xludf.DUMMYFUNCTION("IMPORTRANGE(""https://docs.google.com/spreadsheets/d/11923uPwbBZFjjGgGUA6NLw09EwE0CqkOc4q9oUmW1yo/edit?usp=sharing"",""อุตรดิตถ์!J484"")"),2)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IFERROR(__xludf.DUMMYFUNCTION("IMPORTRANGE(""https://docs.google.com/spreadsheets/d/11923uPwbBZFjjGgGUA6NLw09EwE0CqkOc4q9oUmW1yo/edit?usp=sharing"",""อุตรดิตถ์!I485"")"),0)</f>
        <v>0</v>
      </c>
      <c r="J590" s="187">
        <f ca="1">IFERROR(__xludf.DUMMYFUNCTION("IMPORTRANGE(""https://docs.google.com/spreadsheets/d/11923uPwbBZFjjGgGUA6NLw09EwE0CqkOc4q9oUmW1yo/edit?usp=sharing"",""อุตรดิตถ์!J485"")"),1.11)</f>
        <v>1.1100000000000001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IFERROR(__xludf.DUMMYFUNCTION("IMPORTRANGE(""https://docs.google.com/spreadsheets/d/11923uPwbBZFjjGgGUA6NLw09EwE0CqkOc4q9oUmW1yo/edit?usp=sharing"",""อุตรดิตถ์!I486"")"),0)</f>
        <v>0</v>
      </c>
      <c r="J591" s="187">
        <f ca="1">IFERROR(__xludf.DUMMYFUNCTION("IMPORTRANGE(""https://docs.google.com/spreadsheets/d/11923uPwbBZFjjGgGUA6NLw09EwE0CqkOc4q9oUmW1yo/edit?usp=sharing"",""อุตรดิตถ์!J486"")"),2)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IFERROR(__xludf.DUMMYFUNCTION("IMPORTRANGE(""https://docs.google.com/spreadsheets/d/11923uPwbBZFjjGgGUA6NLw09EwE0CqkOc4q9oUmW1yo/edit?usp=sharing"",""อุตรดิตถ์!I487"")"),0)</f>
        <v>0</v>
      </c>
      <c r="J592" s="187">
        <f ca="1">IFERROR(__xludf.DUMMYFUNCTION("IMPORTRANGE(""https://docs.google.com/spreadsheets/d/11923uPwbBZFjjGgGUA6NLw09EwE0CqkOc4q9oUmW1yo/edit?usp=sharing"",""อุตรดิตถ์!J487"")"),1.11)</f>
        <v>1.1100000000000001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IFERROR(__xludf.DUMMYFUNCTION("IMPORTRANGE(""https://docs.google.com/spreadsheets/d/11923uPwbBZFjjGgGUA6NLw09EwE0CqkOc4q9oUmW1yo/edit?usp=sharing"",""อุตรดิตถ์!I488"")"),0)</f>
        <v>0</v>
      </c>
      <c r="J593" s="187">
        <f ca="1">IFERROR(__xludf.DUMMYFUNCTION("IMPORTRANGE(""https://docs.google.com/spreadsheets/d/11923uPwbBZFjjGgGUA6NLw09EwE0CqkOc4q9oUmW1yo/edit?usp=sharing"",""อุตรดิตถ์!J488"")"),0)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IFERROR(__xludf.DUMMYFUNCTION("IMPORTRANGE(""https://docs.google.com/spreadsheets/d/11923uPwbBZFjjGgGUA6NLw09EwE0CqkOc4q9oUmW1yo/edit?usp=sharing"",""อุตรดิตถ์!I489"")"),0)</f>
        <v>0</v>
      </c>
      <c r="J594" s="187">
        <f ca="1">IFERROR(__xludf.DUMMYFUNCTION("IMPORTRANGE(""https://docs.google.com/spreadsheets/d/11923uPwbBZFjjGgGUA6NLw09EwE0CqkOc4q9oUmW1yo/edit?usp=sharing"",""อุตรดิตถ์!J489"")"),0)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IFERROR(__xludf.DUMMYFUNCTION("IMPORTRANGE(""https://docs.google.com/spreadsheets/d/11923uPwbBZFjjGgGUA6NLw09EwE0CqkOc4q9oUmW1yo/edit?usp=sharing"",""อุตรดิตถ์!I490"")"),0)</f>
        <v>0</v>
      </c>
      <c r="J595" s="187">
        <f ca="1">IFERROR(__xludf.DUMMYFUNCTION("IMPORTRANGE(""https://docs.google.com/spreadsheets/d/11923uPwbBZFjjGgGUA6NLw09EwE0CqkOc4q9oUmW1yo/edit?usp=sharing"",""อุตรดิตถ์!J490"")"),0)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IFERROR(__xludf.DUMMYFUNCTION("IMPORTRANGE(""https://docs.google.com/spreadsheets/d/11923uPwbBZFjjGgGUA6NLw09EwE0CqkOc4q9oUmW1yo/edit?usp=sharing"",""อุตรดิตถ์!I491"")"),0)</f>
        <v>0</v>
      </c>
      <c r="J596" s="241">
        <f ca="1">IFERROR(__xludf.DUMMYFUNCTION("IMPORTRANGE(""https://docs.google.com/spreadsheets/d/11923uPwbBZFjjGgGUA6NLw09EwE0CqkOc4q9oUmW1yo/edit?usp=sharing"",""อุตรดิตถ์!J491"")"),0)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IFERROR(__xludf.DUMMYFUNCTION("IMPORTRANGE(""https://docs.google.com/spreadsheets/d/11923uPwbBZFjjGgGUA6NLw09EwE0CqkOc4q9oUmW1yo/edit?usp=sharing"",""อุตรดิตถ์!I492"")"),50)</f>
        <v>50</v>
      </c>
      <c r="J597" s="487">
        <f ca="1">IFERROR(__xludf.DUMMYFUNCTION("IMPORTRANGE(""https://docs.google.com/spreadsheets/d/11923uPwbBZFjjGgGUA6NLw09EwE0CqkOc4q9oUmW1yo/edit?usp=sharing"",""อุตรดิตถ์!J492"")"),0)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IFERROR(__xludf.DUMMYFUNCTION("IMPORTRANGE(""https://docs.google.com/spreadsheets/d/11923uPwbBZFjjGgGUA6NLw09EwE0CqkOc4q9oUmW1yo/edit?usp=sharing"",""อุตรดิตถ์!L492"")"),6150)</f>
        <v>6150</v>
      </c>
      <c r="M597" s="411"/>
      <c r="N597" s="411">
        <f ca="1">IFERROR(__xludf.DUMMYFUNCTION("IMPORTRANGE(""https://docs.google.com/spreadsheets/d/11923uPwbBZFjjGgGUA6NLw09EwE0CqkOc4q9oUmW1yo/edit?usp=sharing"",""อุตรดิตถ์!M492"")"),1600)</f>
        <v>1600</v>
      </c>
      <c r="O597" s="411">
        <f t="shared" ref="O597:O601" ca="1" si="126">+IF(L597&gt;0,N597*100/L597,0)</f>
        <v>26.016260162601625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IFERROR(__xludf.DUMMYFUNCTION("IMPORTRANGE(""https://docs.google.com/spreadsheets/d/11923uPwbBZFjjGgGUA6NLw09EwE0CqkOc4q9oUmW1yo/edit?usp=sharing"",""อุตรดิตถ์!L493"")"),0)</f>
        <v>0</v>
      </c>
      <c r="M598" s="164"/>
      <c r="N598" s="168">
        <f ca="1">IFERROR(__xludf.DUMMYFUNCTION("IMPORTRANGE(""https://docs.google.com/spreadsheets/d/11923uPwbBZFjjGgGUA6NLw09EwE0CqkOc4q9oUmW1yo/edit?usp=sharing"",""อุตรดิตถ์!M493"")"),0)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IFERROR(__xludf.DUMMYFUNCTION("IMPORTRANGE(""https://docs.google.com/spreadsheets/d/11923uPwbBZFjjGgGUA6NLw09EwE0CqkOc4q9oUmW1yo/edit?usp=sharing"",""อุตรดิตถ์!L494"")"),6150)</f>
        <v>6150</v>
      </c>
      <c r="M599" s="165"/>
      <c r="N599" s="168">
        <f ca="1">IFERROR(__xludf.DUMMYFUNCTION("IMPORTRANGE(""https://docs.google.com/spreadsheets/d/11923uPwbBZFjjGgGUA6NLw09EwE0CqkOc4q9oUmW1yo/edit?usp=sharing"",""อุตรดิตถ์!M494"")"),1600)</f>
        <v>1600</v>
      </c>
      <c r="O599" s="168">
        <f t="shared" ca="1" si="126"/>
        <v>26.016260162601625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IFERROR(__xludf.DUMMYFUNCTION("IMPORTRANGE(""https://docs.google.com/spreadsheets/d/11923uPwbBZFjjGgGUA6NLw09EwE0CqkOc4q9oUmW1yo/edit?usp=sharing"",""อุตรดิตถ์!L495"")"),0)</f>
        <v>0</v>
      </c>
      <c r="M600" s="168"/>
      <c r="N600" s="168">
        <f ca="1">IFERROR(__xludf.DUMMYFUNCTION("IMPORTRANGE(""https://docs.google.com/spreadsheets/d/11923uPwbBZFjjGgGUA6NLw09EwE0CqkOc4q9oUmW1yo/edit?usp=sharing"",""อุตรดิตถ์!M495"")"),0)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IFERROR(__xludf.DUMMYFUNCTION("IMPORTRANGE(""https://docs.google.com/spreadsheets/d/11923uPwbBZFjjGgGUA6NLw09EwE0CqkOc4q9oUmW1yo/edit?usp=sharing"",""อุตรดิตถ์!L496"")"),6150)</f>
        <v>6150</v>
      </c>
      <c r="M601" s="168"/>
      <c r="N601" s="168">
        <f ca="1">IFERROR(__xludf.DUMMYFUNCTION("IMPORTRANGE(""https://docs.google.com/spreadsheets/d/11923uPwbBZFjjGgGUA6NLw09EwE0CqkOc4q9oUmW1yo/edit?usp=sharing"",""อุตรดิตถ์!M496"")"),1600)</f>
        <v>1600</v>
      </c>
      <c r="O601" s="168">
        <f t="shared" ca="1" si="126"/>
        <v>26.016260162601625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IFERROR(__xludf.DUMMYFUNCTION("IMPORTRANGE(""https://docs.google.com/spreadsheets/d/11923uPwbBZFjjGgGUA6NLw09EwE0CqkOc4q9oUmW1yo/edit?usp=sharing"",""อุตรดิตถ์!M497"")"),0)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IFERROR(__xludf.DUMMYFUNCTION("IMPORTRANGE(""https://docs.google.com/spreadsheets/d/11923uPwbBZFjjGgGUA6NLw09EwE0CqkOc4q9oUmW1yo/edit?usp=sharing"",""อุตรดิตถ์!M498"")"),0)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IFERROR(__xludf.DUMMYFUNCTION("IMPORTRANGE(""https://docs.google.com/spreadsheets/d/11923uPwbBZFjjGgGUA6NLw09EwE0CqkOc4q9oUmW1yo/edit?usp=sharing"",""อุตรดิตถ์!M499"")"),0)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IFERROR(__xludf.DUMMYFUNCTION("IMPORTRANGE(""https://docs.google.com/spreadsheets/d/11923uPwbBZFjjGgGUA6NLw09EwE0CqkOc4q9oUmW1yo/edit?usp=sharing"",""อุตรดิตถ์!M500"")"),1600)</f>
        <v>1600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IFERROR(__xludf.DUMMYFUNCTION("IMPORTRANGE(""https://docs.google.com/spreadsheets/d/11923uPwbBZFjjGgGUA6NLw09EwE0CqkOc4q9oUmW1yo/edit?usp=sharing"",""อุตรดิตถ์!J502"")"),0)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IFERROR(__xludf.DUMMYFUNCTION("IMPORTRANGE(""https://docs.google.com/spreadsheets/d/11923uPwbBZFjjGgGUA6NLw09EwE0CqkOc4q9oUmW1yo/edit?usp=sharing"",""อุตรดิตถ์!J503"")"),1)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IFERROR(__xludf.DUMMYFUNCTION("IMPORTRANGE(""https://docs.google.com/spreadsheets/d/11923uPwbBZFjjGgGUA6NLw09EwE0CqkOc4q9oUmW1yo/edit?usp=sharing"",""อุตรดิตถ์!J166"")"),0)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IFERROR(__xludf.DUMMYFUNCTION("IMPORTRANGE(""https://docs.google.com/spreadsheets/d/11923uPwbBZFjjGgGUA6NLw09EwE0CqkOc4q9oUmW1yo/edit?usp=sharing"",""อุตรดิตถ์!J166"")"),0)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IFERROR(__xludf.DUMMYFUNCTION("IMPORTRANGE(""https://docs.google.com/spreadsheets/d/11923uPwbBZFjjGgGUA6NLw09EwE0CqkOc4q9oUmW1yo/edit?usp=sharing"",""อุตรดิตถ์!I506"")"),50)</f>
        <v>50</v>
      </c>
      <c r="J611" s="162">
        <f ca="1">IFERROR(__xludf.DUMMYFUNCTION("IMPORTRANGE(""https://docs.google.com/spreadsheets/d/11923uPwbBZFjjGgGUA6NLw09EwE0CqkOc4q9oUmW1yo/edit?usp=sharing"",""อุตรดิตถ์!J506"")"),0)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IFERROR(__xludf.DUMMYFUNCTION("IMPORTRANGE(""https://docs.google.com/spreadsheets/d/11923uPwbBZFjjGgGUA6NLw09EwE0CqkOc4q9oUmW1yo/edit?usp=sharing"",""อุตรดิตถ์!I507"")"),0)</f>
        <v>0</v>
      </c>
      <c r="J612" s="197">
        <f ca="1">IFERROR(__xludf.DUMMYFUNCTION("IMPORTRANGE(""https://docs.google.com/spreadsheets/d/11923uPwbBZFjjGgGUA6NLw09EwE0CqkOc4q9oUmW1yo/edit?usp=sharing"",""อุตรดิตถ์!J507"")"),0)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IFERROR(__xludf.DUMMYFUNCTION("IMPORTRANGE(""https://docs.google.com/spreadsheets/d/11923uPwbBZFjjGgGUA6NLw09EwE0CqkOc4q9oUmW1yo/edit?usp=sharing"",""อุตรดิตถ์!I508"")"),0)</f>
        <v>0</v>
      </c>
      <c r="J613" s="197">
        <f ca="1">IFERROR(__xludf.DUMMYFUNCTION("IMPORTRANGE(""https://docs.google.com/spreadsheets/d/11923uPwbBZFjjGgGUA6NLw09EwE0CqkOc4q9oUmW1yo/edit?usp=sharing"",""อุตรดิตถ์!J508"")"),0)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IFERROR(__xludf.DUMMYFUNCTION("IMPORTRANGE(""https://docs.google.com/spreadsheets/d/11923uPwbBZFjjGgGUA6NLw09EwE0CqkOc4q9oUmW1yo/edit?usp=sharing"",""อุตรดิตถ์!I509"")"),0)</f>
        <v>0</v>
      </c>
      <c r="J614" s="197">
        <f ca="1">IFERROR(__xludf.DUMMYFUNCTION("IMPORTRANGE(""https://docs.google.com/spreadsheets/d/11923uPwbBZFjjGgGUA6NLw09EwE0CqkOc4q9oUmW1yo/edit?usp=sharing"",""อุตรดิตถ์!J509"")"),0)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IFERROR(__xludf.DUMMYFUNCTION("IMPORTRANGE(""https://docs.google.com/spreadsheets/d/11923uPwbBZFjjGgGUA6NLw09EwE0CqkOc4q9oUmW1yo/edit?usp=sharing"",""อุตรดิตถ์!I510"")"),0)</f>
        <v>0</v>
      </c>
      <c r="J615" s="197">
        <f ca="1">IFERROR(__xludf.DUMMYFUNCTION("IMPORTRANGE(""https://docs.google.com/spreadsheets/d/11923uPwbBZFjjGgGUA6NLw09EwE0CqkOc4q9oUmW1yo/edit?usp=sharing"",""อุตรดิตถ์!J510"")"),0)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IFERROR(__xludf.DUMMYFUNCTION("IMPORTRANGE(""https://docs.google.com/spreadsheets/d/11923uPwbBZFjjGgGUA6NLw09EwE0CqkOc4q9oUmW1yo/edit?usp=sharing"",""อุตรดิตถ์!I511"")"),0)</f>
        <v>0</v>
      </c>
      <c r="J616" s="197">
        <f ca="1">IFERROR(__xludf.DUMMYFUNCTION("IMPORTRANGE(""https://docs.google.com/spreadsheets/d/11923uPwbBZFjjGgGUA6NLw09EwE0CqkOc4q9oUmW1yo/edit?usp=sharing"",""อุตรดิตถ์!J511"")"),0)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IFERROR(__xludf.DUMMYFUNCTION("IMPORTRANGE(""https://docs.google.com/spreadsheets/d/11923uPwbBZFjjGgGUA6NLw09EwE0CqkOc4q9oUmW1yo/edit?usp=sharing"",""อุตรดิตถ์!I512"")"),0)</f>
        <v>0</v>
      </c>
      <c r="J617" s="187">
        <f ca="1">IFERROR(__xludf.DUMMYFUNCTION("IMPORTRANGE(""https://docs.google.com/spreadsheets/d/11923uPwbBZFjjGgGUA6NLw09EwE0CqkOc4q9oUmW1yo/edit?usp=sharing"",""อุตรดิตถ์!J512"")"),0)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IFERROR(__xludf.DUMMYFUNCTION("IMPORTRANGE(""https://docs.google.com/spreadsheets/d/11923uPwbBZFjjGgGUA6NLw09EwE0CqkOc4q9oUmW1yo/edit?usp=sharing"",""อุตรดิตถ์!I513"")"),0)</f>
        <v>0</v>
      </c>
      <c r="J618" s="188">
        <f ca="1">IFERROR(__xludf.DUMMYFUNCTION("IMPORTRANGE(""https://docs.google.com/spreadsheets/d/11923uPwbBZFjjGgGUA6NLw09EwE0CqkOc4q9oUmW1yo/edit?usp=sharing"",""อุตรดิตถ์!J513"")"),0)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IFERROR(__xludf.DUMMYFUNCTION("IMPORTRANGE(""https://docs.google.com/spreadsheets/d/11923uPwbBZFjjGgGUA6NLw09EwE0CqkOc4q9oUmW1yo/edit?usp=sharing"",""อุตรดิตถ์!I514"")"),0)</f>
        <v>0</v>
      </c>
      <c r="J619" s="188">
        <f ca="1">IFERROR(__xludf.DUMMYFUNCTION("IMPORTRANGE(""https://docs.google.com/spreadsheets/d/11923uPwbBZFjjGgGUA6NLw09EwE0CqkOc4q9oUmW1yo/edit?usp=sharing"",""อุตรดิตถ์!J514"")"),0)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IFERROR(__xludf.DUMMYFUNCTION("IMPORTRANGE(""https://docs.google.com/spreadsheets/d/11923uPwbBZFjjGgGUA6NLw09EwE0CqkOc4q9oUmW1yo/edit?usp=sharing"",""อุตรดิตถ์!I515"")"),1577)</f>
        <v>1577</v>
      </c>
      <c r="J620" s="202">
        <f ca="1">IFERROR(__xludf.DUMMYFUNCTION("IMPORTRANGE(""https://docs.google.com/spreadsheets/d/11923uPwbBZFjjGgGUA6NLw09EwE0CqkOc4q9oUmW1yo/edit?usp=sharing"",""อุตรดิตถ์!J515"")"),0)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IFERROR(__xludf.DUMMYFUNCTION("IMPORTRANGE(""https://docs.google.com/spreadsheets/d/11923uPwbBZFjjGgGUA6NLw09EwE0CqkOc4q9oUmW1yo/edit?usp=sharing"",""อุตรดิตถ์!I516"")"),0)</f>
        <v>0</v>
      </c>
      <c r="J621" s="202">
        <f ca="1">IFERROR(__xludf.DUMMYFUNCTION("IMPORTRANGE(""https://docs.google.com/spreadsheets/d/11923uPwbBZFjjGgGUA6NLw09EwE0CqkOc4q9oUmW1yo/edit?usp=sharing"",""อุตรดิตถ์!J516"")"),0)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IFERROR(__xludf.DUMMYFUNCTION("IMPORTRANGE(""https://docs.google.com/spreadsheets/d/11923uPwbBZFjjGgGUA6NLw09EwE0CqkOc4q9oUmW1yo/edit?usp=sharing"",""อุตรดิตถ์!I517"")"),0)</f>
        <v>0</v>
      </c>
      <c r="J622" s="188">
        <f ca="1">IFERROR(__xludf.DUMMYFUNCTION("IMPORTRANGE(""https://docs.google.com/spreadsheets/d/11923uPwbBZFjjGgGUA6NLw09EwE0CqkOc4q9oUmW1yo/edit?usp=sharing"",""อุตรดิตถ์!J517"")"),0)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IFERROR(__xludf.DUMMYFUNCTION("IMPORTRANGE(""https://docs.google.com/spreadsheets/d/11923uPwbBZFjjGgGUA6NLw09EwE0CqkOc4q9oUmW1yo/edit?usp=sharing"",""อุตรดิตถ์!I518"")"),0)</f>
        <v>0</v>
      </c>
      <c r="J623" s="188">
        <f ca="1">IFERROR(__xludf.DUMMYFUNCTION("IMPORTRANGE(""https://docs.google.com/spreadsheets/d/11923uPwbBZFjjGgGUA6NLw09EwE0CqkOc4q9oUmW1yo/edit?usp=sharing"",""อุตรดิตถ์!J518"")"),0)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IFERROR(__xludf.DUMMYFUNCTION("IMPORTRANGE(""https://docs.google.com/spreadsheets/d/11923uPwbBZFjjGgGUA6NLw09EwE0CqkOc4q9oUmW1yo/edit?usp=sharing"",""อุตรดิตถ์!I519"")"),0)</f>
        <v>0</v>
      </c>
      <c r="J624" s="187">
        <f ca="1">IFERROR(__xludf.DUMMYFUNCTION("IMPORTRANGE(""https://docs.google.com/spreadsheets/d/11923uPwbBZFjjGgGUA6NLw09EwE0CqkOc4q9oUmW1yo/edit?usp=sharing"",""อุตรดิตถ์!J519"")"),0)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IFERROR(__xludf.DUMMYFUNCTION("IMPORTRANGE(""https://docs.google.com/spreadsheets/d/11923uPwbBZFjjGgGUA6NLw09EwE0CqkOc4q9oUmW1yo/edit?usp=sharing"",""อุตรดิตถ์!I520"")"),0)</f>
        <v>0</v>
      </c>
      <c r="J625" s="188">
        <f ca="1">IFERROR(__xludf.DUMMYFUNCTION("IMPORTRANGE(""https://docs.google.com/spreadsheets/d/11923uPwbBZFjjGgGUA6NLw09EwE0CqkOc4q9oUmW1yo/edit?usp=sharing"",""อุตรดิตถ์!J520"")"),0)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IFERROR(__xludf.DUMMYFUNCTION("IMPORTRANGE(""https://docs.google.com/spreadsheets/d/11923uPwbBZFjjGgGUA6NLw09EwE0CqkOc4q9oUmW1yo/edit?usp=sharing"",""อุตรดิตถ์!I521"")"),0)</f>
        <v>0</v>
      </c>
      <c r="J626" s="188">
        <f ca="1">IFERROR(__xludf.DUMMYFUNCTION("IMPORTRANGE(""https://docs.google.com/spreadsheets/d/11923uPwbBZFjjGgGUA6NLw09EwE0CqkOc4q9oUmW1yo/edit?usp=sharing"",""อุตรดิตถ์!J521"")"),0)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IFERROR(__xludf.DUMMYFUNCTION("IMPORTRANGE(""https://docs.google.com/spreadsheets/d/11923uPwbBZFjjGgGUA6NLw09EwE0CqkOc4q9oUmW1yo/edit?usp=sharing"",""อุตรดิตถ์!I523"")"),14484921.75)</f>
        <v>14484921.75</v>
      </c>
      <c r="J628" s="341">
        <f ca="1">IFERROR(__xludf.DUMMYFUNCTION("IMPORTRANGE(""https://docs.google.com/spreadsheets/d/11923uPwbBZFjjGgGUA6NLw09EwE0CqkOc4q9oUmW1yo/edit?usp=sharing"",""อุตรดิตถ์!J523"")"),10356364.64)</f>
        <v>10356364.640000001</v>
      </c>
      <c r="K628" s="342">
        <f t="shared" ref="K628:K635" ca="1" si="129">IF(I628&gt;0,J628*100/I628,0)</f>
        <v>71.497553240147809</v>
      </c>
      <c r="L628" s="342"/>
      <c r="M628" s="342"/>
      <c r="N628" s="342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IFERROR(__xludf.DUMMYFUNCTION("IMPORTRANGE(""https://docs.google.com/spreadsheets/d/11923uPwbBZFjjGgGUA6NLw09EwE0CqkOc4q9oUmW1yo/edit?usp=sharing"",""อุตรดิตถ์!I524"")"),823)</f>
        <v>823</v>
      </c>
      <c r="J629" s="341">
        <f ca="1">IFERROR(__xludf.DUMMYFUNCTION("IMPORTRANGE(""https://docs.google.com/spreadsheets/d/11923uPwbBZFjjGgGUA6NLw09EwE0CqkOc4q9oUmW1yo/edit?usp=sharing"",""อุตรดิตถ์!J524"")"),741)</f>
        <v>741</v>
      </c>
      <c r="K629" s="342">
        <f t="shared" ca="1" si="129"/>
        <v>90.036452004860266</v>
      </c>
      <c r="L629" s="342"/>
      <c r="M629" s="342"/>
      <c r="N629" s="342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IFERROR(__xludf.DUMMYFUNCTION("IMPORTRANGE(""https://docs.google.com/spreadsheets/d/11923uPwbBZFjjGgGUA6NLw09EwE0CqkOc4q9oUmW1yo/edit?usp=sharing"",""อุตรดิตถ์!I525"")"),19312390.9)</f>
        <v>19312390.899999999</v>
      </c>
      <c r="J630" s="341">
        <f ca="1">IFERROR(__xludf.DUMMYFUNCTION("IMPORTRANGE(""https://docs.google.com/spreadsheets/d/11923uPwbBZFjjGgGUA6NLw09EwE0CqkOc4q9oUmW1yo/edit?usp=sharing"",""อุตรดิตถ์!J525"")"),1816740.57)</f>
        <v>1816740.57</v>
      </c>
      <c r="K630" s="342">
        <f t="shared" ca="1" si="129"/>
        <v>9.4071240552613311</v>
      </c>
      <c r="L630" s="342"/>
      <c r="M630" s="342"/>
      <c r="N630" s="342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IFERROR(__xludf.DUMMYFUNCTION("IMPORTRANGE(""https://docs.google.com/spreadsheets/d/11923uPwbBZFjjGgGUA6NLw09EwE0CqkOc4q9oUmW1yo/edit?usp=sharing"",""อุตรดิตถ์!I526"")"),698)</f>
        <v>698</v>
      </c>
      <c r="J631" s="341">
        <f ca="1">IFERROR(__xludf.DUMMYFUNCTION("IMPORTRANGE(""https://docs.google.com/spreadsheets/d/11923uPwbBZFjjGgGUA6NLw09EwE0CqkOc4q9oUmW1yo/edit?usp=sharing"",""อุตรดิตถ์!J526"")"),277)</f>
        <v>277</v>
      </c>
      <c r="K631" s="342">
        <f t="shared" ca="1" si="129"/>
        <v>39.684813753581665</v>
      </c>
      <c r="L631" s="342"/>
      <c r="M631" s="342"/>
      <c r="N631" s="342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IFERROR(__xludf.DUMMYFUNCTION("IMPORTRANGE(""https://docs.google.com/spreadsheets/d/11923uPwbBZFjjGgGUA6NLw09EwE0CqkOc4q9oUmW1yo/edit?usp=sharing"",""อุตรดิตถ์!I527"")"),2756022.66)</f>
        <v>2756022.66</v>
      </c>
      <c r="J632" s="341">
        <f ca="1">IFERROR(__xludf.DUMMYFUNCTION("IMPORTRANGE(""https://docs.google.com/spreadsheets/d/11923uPwbBZFjjGgGUA6NLw09EwE0CqkOc4q9oUmW1yo/edit?usp=sharing"",""อุตรดิตถ์!J527"")"),314673.81)</f>
        <v>314673.81</v>
      </c>
      <c r="K632" s="342">
        <f t="shared" ca="1" si="129"/>
        <v>11.417678619521945</v>
      </c>
      <c r="L632" s="342"/>
      <c r="M632" s="342"/>
      <c r="N632" s="342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IFERROR(__xludf.DUMMYFUNCTION("IMPORTRANGE(""https://docs.google.com/spreadsheets/d/11923uPwbBZFjjGgGUA6NLw09EwE0CqkOc4q9oUmW1yo/edit?usp=sharing"",""อุตรดิตถ์!I528"")"),79)</f>
        <v>79</v>
      </c>
      <c r="J633" s="341">
        <f ca="1">IFERROR(__xludf.DUMMYFUNCTION("IMPORTRANGE(""https://docs.google.com/spreadsheets/d/11923uPwbBZFjjGgGUA6NLw09EwE0CqkOc4q9oUmW1yo/edit?usp=sharing"",""อุตรดิตถ์!J528"")"),43)</f>
        <v>43</v>
      </c>
      <c r="K633" s="342">
        <f t="shared" ca="1" si="129"/>
        <v>54.430379746835442</v>
      </c>
      <c r="L633" s="342"/>
      <c r="M633" s="342"/>
      <c r="N633" s="342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IFERROR(__xludf.DUMMYFUNCTION("IMPORTRANGE(""https://docs.google.com/spreadsheets/d/11923uPwbBZFjjGgGUA6NLw09EwE0CqkOc4q9oUmW1yo/edit?usp=sharing"",""อุตรดิตถ์!I529"")"),15000000)</f>
        <v>15000000</v>
      </c>
      <c r="J634" s="341">
        <f ca="1">IFERROR(__xludf.DUMMYFUNCTION("IMPORTRANGE(""https://docs.google.com/spreadsheets/d/11923uPwbBZFjjGgGUA6NLw09EwE0CqkOc4q9oUmW1yo/edit?usp=sharing"",""อุตรดิตถ์!J529"")"),8535000)</f>
        <v>8535000</v>
      </c>
      <c r="K634" s="342">
        <f t="shared" ca="1" si="129"/>
        <v>56.9</v>
      </c>
      <c r="L634" s="342"/>
      <c r="M634" s="342"/>
      <c r="N634" s="342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IFERROR(__xludf.DUMMYFUNCTION("IMPORTRANGE(""https://docs.google.com/spreadsheets/d/11923uPwbBZFjjGgGUA6NLw09EwE0CqkOc4q9oUmW1yo/edit?usp=sharing"",""อุตรดิตถ์!I530"")"),400)</f>
        <v>400</v>
      </c>
      <c r="J635" s="504">
        <f ca="1">IFERROR(__xludf.DUMMYFUNCTION("IMPORTRANGE(""https://docs.google.com/spreadsheets/d/11923uPwbBZFjjGgGUA6NLw09EwE0CqkOc4q9oUmW1yo/edit?usp=sharing"",""อุตรดิตถ์!J530"")"),195)</f>
        <v>195</v>
      </c>
      <c r="K635" s="486">
        <f t="shared" ca="1" si="129"/>
        <v>48.75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2420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5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2420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2420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5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IFERROR(__xludf.DUMMYFUNCTION("IMPORTRANGE(""https://docs.google.com/spreadsheets/d/11923uPwbBZFjjGgGUA6NLw09EwE0CqkOc4q9oUmW1yo/edit?usp=sharing"",""อุตรดิตถ์!J541"")"),0)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5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IFERROR(__xludf.DUMMYFUNCTION("IMPORTRANGE(""https://docs.google.com/spreadsheets/d/11923uPwbBZFjjGgGUA6NLw09EwE0CqkOc4q9oUmW1yo/edit?usp=sharing"",""อุตรดิตถ์!J542"")"),0)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5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IFERROR(__xludf.DUMMYFUNCTION("IMPORTRANGE(""https://docs.google.com/spreadsheets/d/11923uPwbBZFjjGgGUA6NLw09EwE0CqkOc4q9oUmW1yo/edit?usp=sharing"",""อุตรดิตถ์!I543"")"),0)</f>
        <v>0</v>
      </c>
      <c r="J648" s="535">
        <f ca="1">IFERROR(__xludf.DUMMYFUNCTION("IMPORTRANGE(""https://docs.google.com/spreadsheets/d/11923uPwbBZFjjGgGUA6NLw09EwE0CqkOc4q9oUmW1yo/edit?usp=sharing"",""อุตรดิตถ์!J543"")"),0)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IFERROR(__xludf.DUMMYFUNCTION("IMPORTRANGE(""https://docs.google.com/spreadsheets/d/11923uPwbBZFjjGgGUA6NLw09EwE0CqkOc4q9oUmW1yo/edit?usp=sharing"",""อุตรดิตถ์!L543"")"),0)</f>
        <v>0</v>
      </c>
      <c r="M648" s="520"/>
      <c r="N648" s="537">
        <f ca="1">IFERROR(__xludf.DUMMYFUNCTION("IMPORTRANGE(""https://docs.google.com/spreadsheets/d/11923uPwbBZFjjGgGUA6NLw09EwE0CqkOc4q9oUmW1yo/edit?usp=sharing"",""อุตรดิตถ์!M543"")"),0)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5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IFERROR(__xludf.DUMMYFUNCTION("IMPORTRANGE(""https://docs.google.com/spreadsheets/d/11923uPwbBZFjjGgGUA6NLw09EwE0CqkOc4q9oUmW1yo/edit?usp=sharing"",""อุตรดิตถ์!I544"")"),0)</f>
        <v>0</v>
      </c>
      <c r="J649" s="535">
        <f ca="1">IFERROR(__xludf.DUMMYFUNCTION("IMPORTRANGE(""https://docs.google.com/spreadsheets/d/11923uPwbBZFjjGgGUA6NLw09EwE0CqkOc4q9oUmW1yo/edit?usp=sharing"",""อุตรดิตถ์!J544"")"),0)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IFERROR(__xludf.DUMMYFUNCTION("IMPORTRANGE(""https://docs.google.com/spreadsheets/d/11923uPwbBZFjjGgGUA6NLw09EwE0CqkOc4q9oUmW1yo/edit?usp=sharing"",""อุตรดิตถ์!L544"")"),0)</f>
        <v>0</v>
      </c>
      <c r="M649" s="520"/>
      <c r="N649" s="537">
        <f ca="1">IFERROR(__xludf.DUMMYFUNCTION("IMPORTRANGE(""https://docs.google.com/spreadsheets/d/11923uPwbBZFjjGgGUA6NLw09EwE0CqkOc4q9oUmW1yo/edit?usp=sharing"",""อุตรดิตถ์!M544"")"),0)</f>
        <v>0</v>
      </c>
      <c r="O649" s="536">
        <f t="shared" ca="1" si="132"/>
        <v>0</v>
      </c>
      <c r="P649" s="536"/>
    </row>
    <row r="650" spans="1:16" ht="21.75" customHeight="1" x14ac:dyDescent="0.45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IFERROR(__xludf.DUMMYFUNCTION("IMPORTRANGE(""https://docs.google.com/spreadsheets/d/11923uPwbBZFjjGgGUA6NLw09EwE0CqkOc4q9oUmW1yo/edit?usp=sharing"",""อุตรดิตถ์!I545"")"),4)</f>
        <v>4</v>
      </c>
      <c r="J650" s="535">
        <f ca="1">IFERROR(__xludf.DUMMYFUNCTION("IMPORTRANGE(""https://docs.google.com/spreadsheets/d/11923uPwbBZFjjGgGUA6NLw09EwE0CqkOc4q9oUmW1yo/edit?usp=sharing"",""อุตรดิตถ์!J545"")"),0)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IFERROR(__xludf.DUMMYFUNCTION("IMPORTRANGE(""https://docs.google.com/spreadsheets/d/11923uPwbBZFjjGgGUA6NLw09EwE0CqkOc4q9oUmW1yo/edit?usp=sharing"",""อุตรดิตถ์!L545"")"),20)</f>
        <v>20</v>
      </c>
      <c r="M650" s="520"/>
      <c r="N650" s="537">
        <f ca="1">IFERROR(__xludf.DUMMYFUNCTION("IMPORTRANGE(""https://docs.google.com/spreadsheets/d/11923uPwbBZFjjGgGUA6NLw09EwE0CqkOc4q9oUmW1yo/edit?usp=sharing"",""อุตรดิตถ์!M545"")"),0)</f>
        <v>0</v>
      </c>
      <c r="O650" s="536">
        <f t="shared" ca="1" si="132"/>
        <v>0</v>
      </c>
      <c r="P650" s="536"/>
    </row>
    <row r="651" spans="1:16" ht="21.75" customHeight="1" x14ac:dyDescent="0.45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IFERROR(__xludf.DUMMYFUNCTION("IMPORTRANGE(""https://docs.google.com/spreadsheets/d/11923uPwbBZFjjGgGUA6NLw09EwE0CqkOc4q9oUmW1yo/edit?usp=sharing"",""อุตรดิตถ์!I546"")"),0)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IFERROR(__xludf.DUMMYFUNCTION("IMPORTRANGE(""https://docs.google.com/spreadsheets/d/11923uPwbBZFjjGgGUA6NLw09EwE0CqkOc4q9oUmW1yo/edit?usp=sharing"",""อุตรดิตถ์!L546"")"),0)</f>
        <v>0</v>
      </c>
      <c r="M651" s="520"/>
      <c r="N651" s="537">
        <f ca="1">IFERROR(__xludf.DUMMYFUNCTION("IMPORTRANGE(""https://docs.google.com/spreadsheets/d/11923uPwbBZFjjGgGUA6NLw09EwE0CqkOc4q9oUmW1yo/edit?usp=sharing"",""อุตรดิตถ์!M546"")"),0)</f>
        <v>0</v>
      </c>
      <c r="O651" s="536">
        <f t="shared" ca="1" si="132"/>
        <v>0</v>
      </c>
      <c r="P651" s="536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IFERROR(__xludf.DUMMYFUNCTION("IMPORTRANGE(""https://docs.google.com/spreadsheets/d/11923uPwbBZFjjGgGUA6NLw09EwE0CqkOc4q9oUmW1yo/edit?usp=sharing"",""อุตรดิตถ์!J547"")"),0)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IFERROR(__xludf.DUMMYFUNCTION("IMPORTRANGE(""https://docs.google.com/spreadsheets/d/11923uPwbBZFjjGgGUA6NLw09EwE0CqkOc4q9oUmW1yo/edit?usp=sharing"",""อุตรดิตถ์!J548"")"),0)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IFERROR(__xludf.DUMMYFUNCTION("IMPORTRANGE(""https://docs.google.com/spreadsheets/d/11923uPwbBZFjjGgGUA6NLw09EwE0CqkOc4q9oUmW1yo/edit?usp=sharing"",""อุตรดิตถ์!J550"")"),0)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IFERROR(__xludf.DUMMYFUNCTION("IMPORTRANGE(""https://docs.google.com/spreadsheets/d/11923uPwbBZFjjGgGUA6NLw09EwE0CqkOc4q9oUmW1yo/edit?usp=sharing"",""อุตรดิตถ์!J551"")"),0)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IFERROR(__xludf.DUMMYFUNCTION("IMPORTRANGE(""https://docs.google.com/spreadsheets/d/11923uPwbBZFjjGgGUA6NLw09EwE0CqkOc4q9oUmW1yo/edit?usp=sharing"",""อุตรดิตถ์!J552"")"),0)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IFERROR(__xludf.DUMMYFUNCTION("IMPORTRANGE(""https://docs.google.com/spreadsheets/d/11923uPwbBZFjjGgGUA6NLw09EwE0CqkOc4q9oUmW1yo/edit?usp=sharing"",""อุตรดิตถ์!J553"")"),0)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IFERROR(__xludf.DUMMYFUNCTION("IMPORTRANGE(""https://docs.google.com/spreadsheets/d/11923uPwbBZFjjGgGUA6NLw09EwE0CqkOc4q9oUmW1yo/edit?usp=sharing"",""อุตรดิตถ์!J554"")"),0)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IFERROR(__xludf.DUMMYFUNCTION("IMPORTRANGE(""https://docs.google.com/spreadsheets/d/11923uPwbBZFjjGgGUA6NLw09EwE0CqkOc4q9oUmW1yo/edit?usp=sharing"",""อุตรดิตถ์!J555"")"),0)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5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IFERROR(__xludf.DUMMYFUNCTION("IMPORTRANGE(""https://docs.google.com/spreadsheets/d/11923uPwbBZFjjGgGUA6NLw09EwE0CqkOc4q9oUmW1yo/edit?usp=sharing"",""อุตรดิตถ์!J556"")"),0)</f>
        <v>0</v>
      </c>
      <c r="K661" s="536"/>
      <c r="L661" s="521">
        <f ca="1">IFERROR(__xludf.DUMMYFUNCTION("IMPORTRANGE(""https://docs.google.com/spreadsheets/d/11923uPwbBZFjjGgGUA6NLw09EwE0CqkOc4q9oUmW1yo/edit?usp=sharing"",""อุตรดิตถ์!L556"")"),2280)</f>
        <v>2280</v>
      </c>
      <c r="M661" s="520"/>
      <c r="N661" s="537">
        <f ca="1">IFERROR(__xludf.DUMMYFUNCTION("IMPORTRANGE(""https://docs.google.com/spreadsheets/d/11923uPwbBZFjjGgGUA6NLw09EwE0CqkOc4q9oUmW1yo/edit?usp=sharing"",""อุตรดิตถ์!M556"")"),0)</f>
        <v>0</v>
      </c>
      <c r="O661" s="536">
        <f ca="1">IF(L661&gt;0,N661*100/L661,0)</f>
        <v>0</v>
      </c>
      <c r="P661" s="536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IFERROR(__xludf.DUMMYFUNCTION("IMPORTRANGE(""https://docs.google.com/spreadsheets/d/11923uPwbBZFjjGgGUA6NLw09EwE0CqkOc4q9oUmW1yo/edit?usp=sharing"",""อุตรดิตถ์!J557"")"),0)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IFERROR(__xludf.DUMMYFUNCTION("IMPORTRANGE(""https://docs.google.com/spreadsheets/d/11923uPwbBZFjjGgGUA6NLw09EwE0CqkOc4q9oUmW1yo/edit?usp=sharing"",""อุตรดิตถ์!I558"")"),57)</f>
        <v>57</v>
      </c>
      <c r="J663" s="535">
        <f ca="1">IFERROR(__xludf.DUMMYFUNCTION("IMPORTRANGE(""https://docs.google.com/spreadsheets/d/11923uPwbBZFjjGgGUA6NLw09EwE0CqkOc4q9oUmW1yo/edit?usp=sharing"",""อุตรดิตถ์!J558"")"),0)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5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IFERROR(__xludf.DUMMYFUNCTION("IMPORTRANGE(""https://docs.google.com/spreadsheets/d/11923uPwbBZFjjGgGUA6NLw09EwE0CqkOc4q9oUmW1yo/edit?usp=sharing"",""อุตรดิตถ์!I560"")"),1)</f>
        <v>1</v>
      </c>
      <c r="J665" s="535">
        <f ca="1">IFERROR(__xludf.DUMMYFUNCTION("IMPORTRANGE(""https://docs.google.com/spreadsheets/d/11923uPwbBZFjjGgGUA6NLw09EwE0CqkOc4q9oUmW1yo/edit?usp=sharing"",""อุตรดิตถ์!J560"")"),0)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IFERROR(__xludf.DUMMYFUNCTION("IMPORTRANGE(""https://docs.google.com/spreadsheets/d/11923uPwbBZFjjGgGUA6NLw09EwE0CqkOc4q9oUmW1yo/edit?usp=sharing"",""อุตรดิตถ์!L560"")"),120)</f>
        <v>120</v>
      </c>
      <c r="M665" s="520"/>
      <c r="N665" s="537">
        <f ca="1">IFERROR(__xludf.DUMMYFUNCTION("IMPORTRANGE(""https://docs.google.com/spreadsheets/d/11923uPwbBZFjjGgGUA6NLw09EwE0CqkOc4q9oUmW1yo/edit?usp=sharing"",""อุตรดิตถ์!M560"")"),0)</f>
        <v>0</v>
      </c>
      <c r="O665" s="536">
        <f ca="1">IF(L665&gt;0,N665*100/L665,0)</f>
        <v>0</v>
      </c>
      <c r="P665" s="536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IFERROR(__xludf.DUMMYFUNCTION("IMPORTRANGE(""https://docs.google.com/spreadsheets/d/11923uPwbBZFjjGgGUA6NLw09EwE0CqkOc4q9oUmW1yo/edit?usp=sharing"",""อุตรดิตถ์!J561"")"),0)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IFERROR(__xludf.DUMMYFUNCTION("IMPORTRANGE(""https://docs.google.com/spreadsheets/d/11923uPwbBZFjjGgGUA6NLw09EwE0CqkOc4q9oUmW1yo/edit?usp=sharing"",""อุตรดิตถ์!J562"")"),0)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IFERROR(__xludf.DUMMYFUNCTION("IMPORTRANGE(""https://docs.google.com/spreadsheets/d/11923uPwbBZFjjGgGUA6NLw09EwE0CqkOc4q9oUmW1yo/edit?usp=sharing"",""อุตรดิตถ์!I563"")"),0)</f>
        <v>0</v>
      </c>
      <c r="J668" s="535">
        <f ca="1">IFERROR(__xludf.DUMMYFUNCTION("IMPORTRANGE(""https://docs.google.com/spreadsheets/d/11923uPwbBZFjjGgGUA6NLw09EwE0CqkOc4q9oUmW1yo/edit?usp=sharing"",""อุตรดิตถ์!J563"")"),0)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IFERROR(__xludf.DUMMYFUNCTION("IMPORTRANGE(""https://docs.google.com/spreadsheets/d/11923uPwbBZFjjGgGUA6NLw09EwE0CqkOc4q9oUmW1yo/edit?usp=sharing"",""อุตรดิตถ์!L563"")"),0)</f>
        <v>0</v>
      </c>
      <c r="M668" s="520"/>
      <c r="N668" s="537">
        <f ca="1">IFERROR(__xludf.DUMMYFUNCTION("IMPORTRANGE(""https://docs.google.com/spreadsheets/d/11923uPwbBZFjjGgGUA6NLw09EwE0CqkOc4q9oUmW1yo/edit?usp=sharing"",""อุตรดิตถ์!M563"")"),0)</f>
        <v>0</v>
      </c>
      <c r="O668" s="536">
        <f ca="1">IF(L668&gt;0,N668*100/L668,0)</f>
        <v>0</v>
      </c>
      <c r="P668" s="536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IFERROR(__xludf.DUMMYFUNCTION("IMPORTRANGE(""https://docs.google.com/spreadsheets/d/11923uPwbBZFjjGgGUA6NLw09EwE0CqkOc4q9oUmW1yo/edit?usp=sharing"",""อุตรดิตถ์!J564"")"),0)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IFERROR(__xludf.DUMMYFUNCTION("IMPORTRANGE(""https://docs.google.com/spreadsheets/d/11923uPwbBZFjjGgGUA6NLw09EwE0CqkOc4q9oUmW1yo/edit?usp=sharing"",""อุตรดิตถ์!J565"")"),0)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5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IFERROR(__xludf.DUMMYFUNCTION("IMPORTRANGE(""https://docs.google.com/spreadsheets/d/11923uPwbBZFjjGgGUA6NLw09EwE0CqkOc4q9oUmW1yo/edit?usp=sharing"",""อุตรดิตถ์!I566"")"),0)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IFERROR(__xludf.DUMMYFUNCTION("IMPORTRANGE(""https://docs.google.com/spreadsheets/d/11923uPwbBZFjjGgGUA6NLw09EwE0CqkOc4q9oUmW1yo/edit?usp=sharing"",""อุตรดิตถ์!L566"")"),0)</f>
        <v>0</v>
      </c>
      <c r="M671" s="520"/>
      <c r="N671" s="537">
        <f ca="1">IFERROR(__xludf.DUMMYFUNCTION("IMPORTRANGE(""https://docs.google.com/spreadsheets/d/11923uPwbBZFjjGgGUA6NLw09EwE0CqkOc4q9oUmW1yo/edit?usp=sharing"",""อุตรดิตถ์!M566"")"),0)</f>
        <v>0</v>
      </c>
      <c r="O671" s="536">
        <f ca="1">IF(L671&gt;0,N671*100/L671,0)</f>
        <v>0</v>
      </c>
      <c r="P671" s="536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IFERROR(__xludf.DUMMYFUNCTION("IMPORTRANGE(""https://docs.google.com/spreadsheets/d/11923uPwbBZFjjGgGUA6NLw09EwE0CqkOc4q9oUmW1yo/edit?usp=sharing"",""อุตรดิตถ์!J567"")"),0)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IFERROR(__xludf.DUMMYFUNCTION("IMPORTRANGE(""https://docs.google.com/spreadsheets/d/11923uPwbBZFjjGgGUA6NLw09EwE0CqkOc4q9oUmW1yo/edit?usp=sharing"",""อุตรดิตถ์!J568"")"),0)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IFERROR(__xludf.DUMMYFUNCTION("IMPORTRANGE(""https://docs.google.com/spreadsheets/d/11923uPwbBZFjjGgGUA6NLw09EwE0CqkOc4q9oUmW1yo/edit?usp=sharing"",""อุตรดิตถ์!J569"")"),0)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IFERROR(__xludf.DUMMYFUNCTION("IMPORTRANGE(""https://docs.google.com/spreadsheets/d/11923uPwbBZFjjGgGUA6NLw09EwE0CqkOc4q9oUmW1yo/edit?usp=sharing"",""อุตรดิตถ์!J570"")"),0)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IFERROR(__xludf.DUMMYFUNCTION("IMPORTRANGE(""https://docs.google.com/spreadsheets/d/11923uPwbBZFjjGgGUA6NLw09EwE0CqkOc4q9oUmW1yo/edit?usp=sharing"",""อุตรดิตถ์!J571"")"),0)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5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IFERROR(__xludf.DUMMYFUNCTION("IMPORTRANGE(""https://docs.google.com/spreadsheets/d/11923uPwbBZFjjGgGUA6NLw09EwE0CqkOc4q9oUmW1yo/edit?usp=sharing"",""อุตรดิตถ์!J572"")"),0)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35">
      <c r="A2" s="577" t="s">
        <v>292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3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6720150</v>
      </c>
      <c r="M8" s="23">
        <f t="shared" ca="1" si="0"/>
        <v>3854733</v>
      </c>
      <c r="N8" s="23">
        <f t="shared" ca="1" si="0"/>
        <v>3835870.69</v>
      </c>
      <c r="O8" s="22">
        <f t="shared" ref="O8:O16" ca="1" si="1">IF(L8&gt;0,N8*100/L8,0)</f>
        <v>57.080134967225433</v>
      </c>
      <c r="P8" s="22">
        <f t="shared" ref="P8:P16" ca="1" si="2">IF(M8&gt;0,N8*100/M8,0)</f>
        <v>99.510671426529413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6720150</v>
      </c>
      <c r="M10" s="30">
        <f t="shared" ca="1" si="4"/>
        <v>3854733</v>
      </c>
      <c r="N10" s="30">
        <f t="shared" ca="1" si="4"/>
        <v>3835870.69</v>
      </c>
      <c r="O10" s="29">
        <f t="shared" ca="1" si="1"/>
        <v>57.080134967225433</v>
      </c>
      <c r="P10" s="29">
        <f t="shared" ca="1" si="2"/>
        <v>99.510671426529413</v>
      </c>
    </row>
    <row r="11" spans="1:16" ht="21.75" customHeight="1" x14ac:dyDescent="0.45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6482750</v>
      </c>
      <c r="M12" s="39">
        <f t="shared" ca="1" si="6"/>
        <v>3617333</v>
      </c>
      <c r="N12" s="39">
        <f t="shared" ca="1" si="6"/>
        <v>3598470.69</v>
      </c>
      <c r="O12" s="39">
        <f t="shared" ca="1" si="1"/>
        <v>55.508398287763683</v>
      </c>
      <c r="P12" s="39">
        <f t="shared" ca="1" si="2"/>
        <v>99.478557545020053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2346000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4136750</v>
      </c>
      <c r="M14" s="39">
        <f t="shared" si="8"/>
        <v>0</v>
      </c>
      <c r="N14" s="39">
        <f t="shared" ca="1" si="8"/>
        <v>716726.23</v>
      </c>
      <c r="O14" s="39">
        <f t="shared" ca="1" si="1"/>
        <v>17.325828972019096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237400</v>
      </c>
      <c r="M16" s="39">
        <f t="shared" ca="1" si="10"/>
        <v>237400</v>
      </c>
      <c r="N16" s="39">
        <f t="shared" ca="1" si="10"/>
        <v>237400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4508755</v>
      </c>
      <c r="M18" s="23">
        <f t="shared" ca="1" si="11"/>
        <v>3854733</v>
      </c>
      <c r="N18" s="23">
        <f t="shared" ca="1" si="11"/>
        <v>3119144.46</v>
      </c>
      <c r="O18" s="22">
        <f t="shared" ref="O18:O20" ca="1" si="12">IF(L18&gt;0,N18*100/L18,0)</f>
        <v>69.179728328551889</v>
      </c>
      <c r="P18" s="22">
        <f t="shared" ref="P18:P26" ca="1" si="13">IF(M18&gt;0,N18*100/M18,0)</f>
        <v>80.917263530314557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4508755</v>
      </c>
      <c r="M20" s="30">
        <f t="shared" ca="1" si="15"/>
        <v>3854733</v>
      </c>
      <c r="N20" s="30">
        <f t="shared" ca="1" si="15"/>
        <v>3119144.46</v>
      </c>
      <c r="O20" s="29">
        <f t="shared" ca="1" si="12"/>
        <v>69.179728328551889</v>
      </c>
      <c r="P20" s="29">
        <f t="shared" ca="1" si="13"/>
        <v>80.917263530314557</v>
      </c>
    </row>
    <row r="21" spans="1:16" ht="21.75" customHeight="1" x14ac:dyDescent="0.45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4271355</v>
      </c>
      <c r="M22" s="42">
        <f t="shared" ca="1" si="18"/>
        <v>3617333</v>
      </c>
      <c r="N22" s="39">
        <f t="shared" ca="1" si="18"/>
        <v>2881744.46</v>
      </c>
      <c r="O22" s="39">
        <f t="shared" ca="1" si="17"/>
        <v>67.466751417290297</v>
      </c>
      <c r="P22" s="39">
        <f t="shared" ca="1" si="13"/>
        <v>79.664892892083756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2346000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1925355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237400</v>
      </c>
      <c r="M26" s="50">
        <f t="shared" ca="1" si="22"/>
        <v>237400</v>
      </c>
      <c r="N26" s="50">
        <f t="shared" ca="1" si="22"/>
        <v>237400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2211395</v>
      </c>
      <c r="M28" s="23">
        <f t="shared" si="23"/>
        <v>0</v>
      </c>
      <c r="N28" s="23">
        <f t="shared" ca="1" si="23"/>
        <v>716726.23</v>
      </c>
      <c r="O28" s="22">
        <f t="shared" ref="O28:O30" ca="1" si="24">IF(L28&gt;0,N28*100/L28,0)</f>
        <v>32.410592861067336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2211395</v>
      </c>
      <c r="M30" s="30">
        <f t="shared" si="27"/>
        <v>0</v>
      </c>
      <c r="N30" s="30">
        <f t="shared" ca="1" si="27"/>
        <v>716726.23</v>
      </c>
      <c r="O30" s="29">
        <f t="shared" ca="1" si="24"/>
        <v>32.410592861067336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2211395</v>
      </c>
      <c r="M32" s="39">
        <f t="shared" si="30"/>
        <v>0</v>
      </c>
      <c r="N32" s="39">
        <f t="shared" ca="1" si="30"/>
        <v>716726.23</v>
      </c>
      <c r="O32" s="39">
        <f t="shared" ca="1" si="29"/>
        <v>32.410592861067336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2211395</v>
      </c>
      <c r="M34" s="39">
        <f t="shared" si="32"/>
        <v>0</v>
      </c>
      <c r="N34" s="39">
        <f t="shared" ca="1" si="32"/>
        <v>716726.23</v>
      </c>
      <c r="O34" s="39">
        <f t="shared" ca="1" si="29"/>
        <v>32.410592861067336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4508755</v>
      </c>
      <c r="M37" s="55">
        <f t="shared" ca="1" si="33"/>
        <v>3854733</v>
      </c>
      <c r="N37" s="55">
        <f t="shared" ca="1" si="33"/>
        <v>3119144.46</v>
      </c>
      <c r="O37" s="56">
        <f t="shared" ca="1" si="29"/>
        <v>69.179728328551889</v>
      </c>
      <c r="P37" s="56">
        <f t="shared" ca="1" si="25"/>
        <v>80.917263530314557</v>
      </c>
    </row>
    <row r="38" spans="1:16" ht="21.75" customHeight="1" x14ac:dyDescent="0.45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784100</v>
      </c>
      <c r="M41" s="79">
        <f t="shared" ca="1" si="34"/>
        <v>588100</v>
      </c>
      <c r="N41" s="79">
        <f t="shared" ca="1" si="34"/>
        <v>536919.61</v>
      </c>
      <c r="O41" s="78">
        <f t="shared" ref="O41:O43" ca="1" si="35">IF(L41&gt;0,N41*100/L41,0)</f>
        <v>68.475909960464222</v>
      </c>
      <c r="P41" s="78">
        <f t="shared" ref="P41:P43" ca="1" si="36">IF(M41&gt;0,N41*100/M41,0)</f>
        <v>91.297332086379868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784100</v>
      </c>
      <c r="M43" s="79">
        <f t="shared" ca="1" si="38"/>
        <v>588100</v>
      </c>
      <c r="N43" s="79">
        <f t="shared" ca="1" si="38"/>
        <v>536919.61</v>
      </c>
      <c r="O43" s="78">
        <f t="shared" ca="1" si="35"/>
        <v>68.475909960464222</v>
      </c>
      <c r="P43" s="78">
        <f t="shared" ca="1" si="36"/>
        <v>91.297332086379868</v>
      </c>
    </row>
    <row r="44" spans="1:16" ht="21.75" customHeight="1" x14ac:dyDescent="0.45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784100</v>
      </c>
      <c r="M45" s="50">
        <f ca="1">IFERROR(__xludf.DUMMYFUNCTION("IMPORTRANGE(""https://docs.google.com/spreadsheets/d/1Yj_ptqi66GCucihVvJfMjLAmec39IyEx_6qawtMGysU/edit?usp=sharing"",""สบก!Q36"")"),588100)</f>
        <v>588100</v>
      </c>
      <c r="N45" s="50">
        <f ca="1">IFERROR(__xludf.DUMMYFUNCTION("IMPORTRANGE(""https://docs.google.com/spreadsheets/d/1Yj_ptqi66GCucihVvJfMjLAmec39IyEx_6qawtMGysU/edit?usp=sharing"",""สบก!R36"")"),536919.61)</f>
        <v>536919.61</v>
      </c>
      <c r="O45" s="39">
        <f ca="1">IF(L45&gt;0,N45*100/L45,0)</f>
        <v>68.475909960464222</v>
      </c>
      <c r="P45" s="39">
        <f ca="1">IF(M45&gt;0,N45*100/M45,0)</f>
        <v>91.297332086379868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IFERROR(__xludf.DUMMYFUNCTION("IMPORTRANGE(""https://docs.google.com/spreadsheets/d/1Yj_ptqi66GCucihVvJfMjLAmec39IyEx_6qawtMGysU/edit?usp=sharing"",""สบก!M36"")"),784100)</f>
        <v>784100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IFERROR(__xludf.DUMMYFUNCTION("IMPORTRANGE(""https://docs.google.com/spreadsheets/d/1Yj_ptqi66GCucihVvJfMjLAmec39IyEx_6qawtMGysU/edit?usp=sharing"",""สบก!N36"")"),0)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IFERROR(__xludf.DUMMYFUNCTION("IMPORTRANGE(""https://docs.google.com/spreadsheets/d/1Yj_ptqi66GCucihVvJfMjLAmec39IyEx_6qawtMGysU/edit?usp=sharing"",""สบก!O36"")"),0)</f>
        <v>0</v>
      </c>
      <c r="M49" s="50"/>
      <c r="N49" s="50">
        <f ca="1">IFERROR(__xludf.DUMMYFUNCTION("IMPORTRANGE(""https://docs.google.com/spreadsheets/d/1Yj_ptqi66GCucihVvJfMjLAmec39IyEx_6qawtMGysU/edit?usp=sharing"",""สบก!S36"")"),0)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750000</v>
      </c>
      <c r="M53" s="121">
        <f t="shared" ca="1" si="39"/>
        <v>591558</v>
      </c>
      <c r="N53" s="121">
        <f t="shared" ca="1" si="39"/>
        <v>555350</v>
      </c>
      <c r="O53" s="120">
        <f t="shared" ref="O53:O55" ca="1" si="40">IF(L53&gt;0,N53*100/L53,0)</f>
        <v>74.046666666666667</v>
      </c>
      <c r="P53" s="120">
        <f t="shared" ref="P53:P55" ca="1" si="41">IF(M53&gt;0,N53*100/M53,0)</f>
        <v>93.879213872519685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750000</v>
      </c>
      <c r="M55" s="121">
        <f t="shared" ca="1" si="43"/>
        <v>591558</v>
      </c>
      <c r="N55" s="121">
        <f t="shared" ca="1" si="43"/>
        <v>555350</v>
      </c>
      <c r="O55" s="120">
        <f t="shared" ca="1" si="40"/>
        <v>74.046666666666667</v>
      </c>
      <c r="P55" s="120">
        <f t="shared" ca="1" si="41"/>
        <v>93.879213872519685</v>
      </c>
    </row>
    <row r="56" spans="1:16" ht="21.75" customHeight="1" x14ac:dyDescent="0.45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750000</v>
      </c>
      <c r="M57" s="50">
        <f ca="1">IFERROR(__xludf.DUMMYFUNCTION("IMPORTRANGE(""https://docs.google.com/spreadsheets/d/1Yj_ptqi66GCucihVvJfMjLAmec39IyEx_6qawtMGysU/edit?usp=sharing"",""สบก!Z36"")"),591558)</f>
        <v>591558</v>
      </c>
      <c r="N57" s="50">
        <f ca="1">IFERROR(__xludf.DUMMYFUNCTION("IMPORTRANGE(""https://docs.google.com/spreadsheets/d/1Yj_ptqi66GCucihVvJfMjLAmec39IyEx_6qawtMGysU/edit?usp=sharing"",""สบก!AA36"")"),555350)</f>
        <v>555350</v>
      </c>
      <c r="O57" s="39">
        <f ca="1">IF(L57&gt;0,N57*100/L57,0)</f>
        <v>74.046666666666667</v>
      </c>
      <c r="P57" s="39">
        <f ca="1">IF(M57&gt;0,N57*100/M57,0)</f>
        <v>93.879213872519685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IFERROR(__xludf.DUMMYFUNCTION("IMPORTRANGE(""https://docs.google.com/spreadsheets/d/1Yj_ptqi66GCucihVvJfMjLAmec39IyEx_6qawtMGysU/edit?usp=sharing"",""สบก!V36"")"),750000)</f>
        <v>750000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IFERROR(__xludf.DUMMYFUNCTION("IMPORTRANGE(""https://docs.google.com/spreadsheets/d/1Yj_ptqi66GCucihVvJfMjLAmec39IyEx_6qawtMGysU/edit?usp=sharing"",""สบก!W36"")"),0)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IFERROR(__xludf.DUMMYFUNCTION("IMPORTRANGE(""https://docs.google.com/spreadsheets/d/1Yj_ptqi66GCucihVvJfMjLAmec39IyEx_6qawtMGysU/edit?usp=sharing"",""สบก!X36"")"),0)</f>
        <v>0</v>
      </c>
      <c r="M61" s="50"/>
      <c r="N61" s="50">
        <f ca="1">IFERROR(__xludf.DUMMYFUNCTION("IMPORTRANGE(""https://docs.google.com/spreadsheets/d/1Yj_ptqi66GCucihVvJfMjLAmec39IyEx_6qawtMGysU/edit?usp=sharing"",""สบก!AB36"")"),0)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IFERROR(__xludf.DUMMYFUNCTION("IMPORTRANGE(""https://docs.google.com/spreadsheets/d/11923uPwbBZFjjGgGUA6NLw09EwE0CqkOc4q9oUmW1yo/edit?usp=sharing"",""อุทัยธานี!I9"")"),2)</f>
        <v>2</v>
      </c>
      <c r="J64" s="142">
        <f ca="1">IFERROR(__xludf.DUMMYFUNCTION("IMPORTRANGE(""https://docs.google.com/spreadsheets/d/11923uPwbBZFjjGgGUA6NLw09EwE0CqkOc4q9oUmW1yo/edit?usp=sharing"",""อุทัยธานี!J9"")"),2)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IFERROR(__xludf.DUMMYFUNCTION("IMPORTRANGE(""https://docs.google.com/spreadsheets/d/11923uPwbBZFjjGgGUA6NLw09EwE0CqkOc4q9oUmW1yo/edit?usp=sharing"",""อุทัยธานี!I10"")"),70)</f>
        <v>70</v>
      </c>
      <c r="J65" s="142">
        <f ca="1">IFERROR(__xludf.DUMMYFUNCTION("IMPORTRANGE(""https://docs.google.com/spreadsheets/d/11923uPwbBZFjjGgGUA6NLw09EwE0CqkOc4q9oUmW1yo/edit?usp=sharing"",""อุทัยธานี!J10"")"),70)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829500</v>
      </c>
      <c r="M66" s="152">
        <f t="shared" ca="1" si="45"/>
        <v>708200</v>
      </c>
      <c r="N66" s="152">
        <f t="shared" ca="1" si="45"/>
        <v>465207.85</v>
      </c>
      <c r="O66" s="151">
        <f t="shared" ref="O66:O68" ca="1" si="46">IF(L66&gt;0,N66*100/L66,0)</f>
        <v>56.082923447860153</v>
      </c>
      <c r="P66" s="151">
        <f t="shared" ref="P66:P68" ca="1" si="47">IF(M66&gt;0,N66*100/M66,0)</f>
        <v>65.68876729737363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829500</v>
      </c>
      <c r="M68" s="88">
        <f t="shared" ca="1" si="49"/>
        <v>708200</v>
      </c>
      <c r="N68" s="88">
        <f t="shared" ca="1" si="49"/>
        <v>465207.85</v>
      </c>
      <c r="O68" s="156">
        <f t="shared" ca="1" si="46"/>
        <v>56.082923447860153</v>
      </c>
      <c r="P68" s="156">
        <f t="shared" ca="1" si="47"/>
        <v>65.68876729737363</v>
      </c>
    </row>
    <row r="69" spans="1:16" ht="21.75" customHeight="1" x14ac:dyDescent="0.45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829500</v>
      </c>
      <c r="M70" s="167">
        <f ca="1">IFERROR(__xludf.DUMMYFUNCTION("IMPORTRANGE(""https://docs.google.com/spreadsheets/d/1Yj_ptqi66GCucihVvJfMjLAmec39IyEx_6qawtMGysU/edit?usp=sharing"",""สบก!AI36"")"),708200)</f>
        <v>708200</v>
      </c>
      <c r="N70" s="168">
        <f ca="1">IFERROR(__xludf.DUMMYFUNCTION("IMPORTRANGE(""https://docs.google.com/spreadsheets/d/1Yj_ptqi66GCucihVvJfMjLAmec39IyEx_6qawtMGysU/edit?usp=sharing"",""สบก!AJ36"")"),465207.85)</f>
        <v>465207.85</v>
      </c>
      <c r="O70" s="168">
        <f ca="1">IF(L70&gt;0,N70*100/L70,0)</f>
        <v>56.082923447860153</v>
      </c>
      <c r="P70" s="168">
        <f ca="1">IF(M70&gt;0,N70*100/M70,0)</f>
        <v>65.68876729737363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IFERROR(__xludf.DUMMYFUNCTION("IMPORTRANGE(""https://docs.google.com/spreadsheets/d/1Yj_ptqi66GCucihVvJfMjLAmec39IyEx_6qawtMGysU/edit?usp=sharing"",""สบก!AE36"")"),179500)</f>
        <v>179500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IFERROR(__xludf.DUMMYFUNCTION("IMPORTRANGE(""https://docs.google.com/spreadsheets/d/1Yj_ptqi66GCucihVvJfMjLAmec39IyEx_6qawtMGysU/edit?usp=sharing"",""สบก!AF36"")"),650000)</f>
        <v>650000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IFERROR(__xludf.DUMMYFUNCTION("IMPORTRANGE(""https://docs.google.com/spreadsheets/d/1Yj_ptqi66GCucihVvJfMjLAmec39IyEx_6qawtMGysU/edit?usp=sharing"",""สบก!AG36"")"),0)</f>
        <v>0</v>
      </c>
      <c r="M74" s="50"/>
      <c r="N74" s="50">
        <f ca="1">IFERROR(__xludf.DUMMYFUNCTION("IMPORTRANGE(""https://docs.google.com/spreadsheets/d/1Yj_ptqi66GCucihVvJfMjLAmec39IyEx_6qawtMGysU/edit?usp=sharing"",""สบก!AK36"")"),0)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IFERROR(__xludf.DUMMYFUNCTION("IMPORTRANGE(""https://docs.google.com/spreadsheets/d/11923uPwbBZFjjGgGUA6NLw09EwE0CqkOc4q9oUmW1yo/edit?usp=sharing"",""อุทัยธานี!J16"")"),0)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IFERROR(__xludf.DUMMYFUNCTION("IMPORTRANGE(""https://docs.google.com/spreadsheets/d/11923uPwbBZFjjGgGUA6NLw09EwE0CqkOc4q9oUmW1yo/edit?usp=sharing"",""อุทัยธานี!J17"")"),1)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IFERROR(__xludf.DUMMYFUNCTION("IMPORTRANGE(""https://docs.google.com/spreadsheets/d/11923uPwbBZFjjGgGUA6NLw09EwE0CqkOc4q9oUmW1yo/edit?usp=sharing"",""อุทัยธานี!J18"")"),1)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IFERROR(__xludf.DUMMYFUNCTION("IMPORTRANGE(""https://docs.google.com/spreadsheets/d/11923uPwbBZFjjGgGUA6NLw09EwE0CqkOc4q9oUmW1yo/edit?usp=sharing"",""อุทัยธานี!J19"")"),1)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IFERROR(__xludf.DUMMYFUNCTION("IMPORTRANGE(""https://docs.google.com/spreadsheets/d/11923uPwbBZFjjGgGUA6NLw09EwE0CqkOc4q9oUmW1yo/edit?usp=sharing"",""อุทัยธานี!I20"")"),2)</f>
        <v>2</v>
      </c>
      <c r="J80" s="200">
        <f ca="1">IFERROR(__xludf.DUMMYFUNCTION("IMPORTRANGE(""https://docs.google.com/spreadsheets/d/11923uPwbBZFjjGgGUA6NLw09EwE0CqkOc4q9oUmW1yo/edit?usp=sharing"",""อุทัยธานี!J20"")"),2)</f>
        <v>2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IFERROR(__xludf.DUMMYFUNCTION("IMPORTRANGE(""https://docs.google.com/spreadsheets/d/11923uPwbBZFjjGgGUA6NLw09EwE0CqkOc4q9oUmW1yo/edit?usp=sharing"",""อุทัยธานี!I21"")"),70)</f>
        <v>70</v>
      </c>
      <c r="J81" s="200">
        <f ca="1">IFERROR(__xludf.DUMMYFUNCTION("IMPORTRANGE(""https://docs.google.com/spreadsheets/d/11923uPwbBZFjjGgGUA6NLw09EwE0CqkOc4q9oUmW1yo/edit?usp=sharing"",""อุทัยธานี!J21"")"),70)</f>
        <v>70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IFERROR(__xludf.DUMMYFUNCTION("IMPORTRANGE(""https://docs.google.com/spreadsheets/d/11923uPwbBZFjjGgGUA6NLw09EwE0CqkOc4q9oUmW1yo/edit?usp=sharing"",""อุทัยธานี!I22"")"),1)</f>
        <v>1</v>
      </c>
      <c r="J82" s="203">
        <f ca="1">IFERROR(__xludf.DUMMYFUNCTION("IMPORTRANGE(""https://docs.google.com/spreadsheets/d/11923uPwbBZFjjGgGUA6NLw09EwE0CqkOc4q9oUmW1yo/edit?usp=sharing"",""อุทัยธานี!J22"")"),1)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IFERROR(__xludf.DUMMYFUNCTION("IMPORTRANGE(""https://docs.google.com/spreadsheets/d/11923uPwbBZFjjGgGUA6NLw09EwE0CqkOc4q9oUmW1yo/edit?usp=sharing"",""อุทัยธานี!I23"")"),30)</f>
        <v>30</v>
      </c>
      <c r="J83" s="203">
        <f ca="1">IFERROR(__xludf.DUMMYFUNCTION("IMPORTRANGE(""https://docs.google.com/spreadsheets/d/11923uPwbBZFjjGgGUA6NLw09EwE0CqkOc4q9oUmW1yo/edit?usp=sharing"",""อุทัยธานี!J23"")"),30)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IFERROR(__xludf.DUMMYFUNCTION("IMPORTRANGE(""https://docs.google.com/spreadsheets/d/11923uPwbBZFjjGgGUA6NLw09EwE0CqkOc4q9oUmW1yo/edit?usp=sharing"",""อุทัยธานี!I24"")"),0)</f>
        <v>0</v>
      </c>
      <c r="J84" s="188">
        <f ca="1">IFERROR(__xludf.DUMMYFUNCTION("IMPORTRANGE(""https://docs.google.com/spreadsheets/d/11923uPwbBZFjjGgGUA6NLw09EwE0CqkOc4q9oUmW1yo/edit?usp=sharing"",""อุทัยธานี!J24"")"),0)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IFERROR(__xludf.DUMMYFUNCTION("IMPORTRANGE(""https://docs.google.com/spreadsheets/d/11923uPwbBZFjjGgGUA6NLw09EwE0CqkOc4q9oUmW1yo/edit?usp=sharing"",""อุทัยธานี!I25"")"),0)</f>
        <v>0</v>
      </c>
      <c r="J85" s="188">
        <f ca="1">IFERROR(__xludf.DUMMYFUNCTION("IMPORTRANGE(""https://docs.google.com/spreadsheets/d/11923uPwbBZFjjGgGUA6NLw09EwE0CqkOc4q9oUmW1yo/edit?usp=sharing"",""อุทัยธานี!J25"")"),0)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IFERROR(__xludf.DUMMYFUNCTION("IMPORTRANGE(""https://docs.google.com/spreadsheets/d/11923uPwbBZFjjGgGUA6NLw09EwE0CqkOc4q9oUmW1yo/edit?usp=sharing"",""อุทัยธานี!I26"")"),1)</f>
        <v>1</v>
      </c>
      <c r="J86" s="203">
        <f ca="1">IFERROR(__xludf.DUMMYFUNCTION("IMPORTRANGE(""https://docs.google.com/spreadsheets/d/11923uPwbBZFjjGgGUA6NLw09EwE0CqkOc4q9oUmW1yo/edit?usp=sharing"",""อุทัยธานี!J26"")"),1)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IFERROR(__xludf.DUMMYFUNCTION("IMPORTRANGE(""https://docs.google.com/spreadsheets/d/11923uPwbBZFjjGgGUA6NLw09EwE0CqkOc4q9oUmW1yo/edit?usp=sharing"",""อุทัยธานี!I27"")"),40)</f>
        <v>40</v>
      </c>
      <c r="J87" s="203">
        <f ca="1">IFERROR(__xludf.DUMMYFUNCTION("IMPORTRANGE(""https://docs.google.com/spreadsheets/d/11923uPwbBZFjjGgGUA6NLw09EwE0CqkOc4q9oUmW1yo/edit?usp=sharing"",""อุทัยธานี!J27"")"),40)</f>
        <v>40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IFERROR(__xludf.DUMMYFUNCTION("IMPORTRANGE(""https://docs.google.com/spreadsheets/d/11923uPwbBZFjjGgGUA6NLw09EwE0CqkOc4q9oUmW1yo/edit?usp=sharing"",""อุทัยธานี!I28"")"),2)</f>
        <v>2</v>
      </c>
      <c r="J88" s="203">
        <f ca="1">IFERROR(__xludf.DUMMYFUNCTION("IMPORTRANGE(""https://docs.google.com/spreadsheets/d/11923uPwbBZFjjGgGUA6NLw09EwE0CqkOc4q9oUmW1yo/edit?usp=sharing"",""อุทัยธานี!J28"")"),0)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IFERROR(__xludf.DUMMYFUNCTION("IMPORTRANGE(""https://docs.google.com/spreadsheets/d/11923uPwbBZFjjGgGUA6NLw09EwE0CqkOc4q9oUmW1yo/edit?usp=sharing"",""อุทัยธานี!J29"")"),0)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IFERROR(__xludf.DUMMYFUNCTION("IMPORTRANGE(""https://docs.google.com/spreadsheets/d/11923uPwbBZFjjGgGUA6NLw09EwE0CqkOc4q9oUmW1yo/edit?usp=sharing"",""อุทัยธานี!J30"")"),0)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IFERROR(__xludf.DUMMYFUNCTION("IMPORTRANGE(""https://docs.google.com/spreadsheets/d/11923uPwbBZFjjGgGUA6NLw09EwE0CqkOc4q9oUmW1yo/edit?usp=sharing"",""อุทัยธานี!I32"")"),4)</f>
        <v>4</v>
      </c>
      <c r="J92" s="142">
        <f ca="1">IFERROR(__xludf.DUMMYFUNCTION("IMPORTRANGE(""https://docs.google.com/spreadsheets/d/11923uPwbBZFjjGgGUA6NLw09EwE0CqkOc4q9oUmW1yo/edit?usp=sharing"",""อุทัยธานี!J32"")"),0)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IFERROR(__xludf.DUMMYFUNCTION("IMPORTRANGE(""https://docs.google.com/spreadsheets/d/11923uPwbBZFjjGgGUA6NLw09EwE0CqkOc4q9oUmW1yo/edit?usp=sharing"",""อุทัยธานี!I33"")"),1)</f>
        <v>1</v>
      </c>
      <c r="J93" s="142">
        <f ca="1">IFERROR(__xludf.DUMMYFUNCTION("IMPORTRANGE(""https://docs.google.com/spreadsheets/d/11923uPwbBZFjjGgGUA6NLw09EwE0CqkOc4q9oUmW1yo/edit?usp=sharing"",""อุทัยธานี!J33"")"),1)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109350</v>
      </c>
      <c r="O94" s="151">
        <f t="shared" ref="O94:O96" ca="1" si="53">IF(L94&gt;0,N94*100/L94,0)</f>
        <v>50.97902097902098</v>
      </c>
      <c r="P94" s="151">
        <f t="shared" ref="P94:P96" ca="1" si="54">IF(M94&gt;0,N94*100/M94,0)</f>
        <v>56.234090149391889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194455</v>
      </c>
      <c r="N96" s="88">
        <f t="shared" ca="1" si="56"/>
        <v>109350</v>
      </c>
      <c r="O96" s="156">
        <f t="shared" ca="1" si="53"/>
        <v>50.97902097902098</v>
      </c>
      <c r="P96" s="156">
        <f t="shared" ca="1" si="54"/>
        <v>56.234090149391889</v>
      </c>
    </row>
    <row r="97" spans="1:16" ht="21.75" customHeight="1" x14ac:dyDescent="0.45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IFERROR(__xludf.DUMMYFUNCTION("IMPORTRANGE(""https://docs.google.com/spreadsheets/d/1Yj_ptqi66GCucihVvJfMjLAmec39IyEx_6qawtMGysU/edit?usp=sharing"",""สบก!AR36"")"),102055)</f>
        <v>102055</v>
      </c>
      <c r="N98" s="168">
        <f ca="1">IFERROR(__xludf.DUMMYFUNCTION("IMPORTRANGE(""https://docs.google.com/spreadsheets/d/1Yj_ptqi66GCucihVvJfMjLAmec39IyEx_6qawtMGysU/edit?usp=sharing"",""สบก!AS36"")"),16950)</f>
        <v>16950</v>
      </c>
      <c r="O98" s="168">
        <f ca="1">IF(L98&gt;0,N98*100/L98,0)</f>
        <v>13.882063882063882</v>
      </c>
      <c r="P98" s="168">
        <f ca="1">IF(M98&gt;0,N98*100/M98,0)</f>
        <v>16.608691391896528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IFERROR(__xludf.DUMMYFUNCTION("IMPORTRANGE(""https://docs.google.com/spreadsheets/d/1Yj_ptqi66GCucihVvJfMjLAmec39IyEx_6qawtMGysU/edit?usp=sharing"",""สบก!AN36"")"),0)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IFERROR(__xludf.DUMMYFUNCTION("IMPORTRANGE(""https://docs.google.com/spreadsheets/d/1Yj_ptqi66GCucihVvJfMjLAmec39IyEx_6qawtMGysU/edit?usp=sharing"",""สบก!AO36"")"),122100)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IFERROR(__xludf.DUMMYFUNCTION("IMPORTRANGE(""https://docs.google.com/spreadsheets/d/1Yj_ptqi66GCucihVvJfMjLAmec39IyEx_6qawtMGysU/edit?usp=sharing"",""สบก!AP36"")"),92400)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IFERROR(__xludf.DUMMYFUNCTION("IMPORTRANGE(""https://docs.google.com/spreadsheets/d/1Yj_ptqi66GCucihVvJfMjLAmec39IyEx_6qawtMGysU/edit?usp=sharing"",""สบก!AT36"")"),92400)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IFERROR(__xludf.DUMMYFUNCTION("IMPORTRANGE(""https://docs.google.com/spreadsheets/d/11923uPwbBZFjjGgGUA6NLw09EwE0CqkOc4q9oUmW1yo/edit?usp=sharing"",""อุทัยธานี!J39"")"),0)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IFERROR(__xludf.DUMMYFUNCTION("IMPORTRANGE(""https://docs.google.com/spreadsheets/d/11923uPwbBZFjjGgGUA6NLw09EwE0CqkOc4q9oUmW1yo/edit?usp=sharing"",""อุทัยธานี!J40"")"),1)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IFERROR(__xludf.DUMMYFUNCTION("IMPORTRANGE(""https://docs.google.com/spreadsheets/d/11923uPwbBZFjjGgGUA6NLw09EwE0CqkOc4q9oUmW1yo/edit?usp=sharing"",""อุทัยธานี!J41"")"),1)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IFERROR(__xludf.DUMMYFUNCTION("IMPORTRANGE(""https://docs.google.com/spreadsheets/d/11923uPwbBZFjjGgGUA6NLw09EwE0CqkOc4q9oUmW1yo/edit?usp=sharing"",""อุทัยธานี!J42"")"),1)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IFERROR(__xludf.DUMMYFUNCTION("IMPORTRANGE(""https://docs.google.com/spreadsheets/d/11923uPwbBZFjjGgGUA6NLw09EwE0CqkOc4q9oUmW1yo/edit?usp=sharing"",""อุทัยธานี!I43"")"),1)</f>
        <v>1</v>
      </c>
      <c r="J108" s="203">
        <f ca="1">IFERROR(__xludf.DUMMYFUNCTION("IMPORTRANGE(""https://docs.google.com/spreadsheets/d/11923uPwbBZFjjGgGUA6NLw09EwE0CqkOc4q9oUmW1yo/edit?usp=sharing"",""อุทัยธานี!J43"")"),1)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IFERROR(__xludf.DUMMYFUNCTION("IMPORTRANGE(""https://docs.google.com/spreadsheets/d/11923uPwbBZFjjGgGUA6NLw09EwE0CqkOc4q9oUmW1yo/edit?usp=sharing"",""อุทัยธานี!I44"")"),4)</f>
        <v>4</v>
      </c>
      <c r="J109" s="203">
        <f ca="1">IFERROR(__xludf.DUMMYFUNCTION("IMPORTRANGE(""https://docs.google.com/spreadsheets/d/11923uPwbBZFjjGgGUA6NLw09EwE0CqkOc4q9oUmW1yo/edit?usp=sharing"",""อุทัยธานี!J44"")"),0)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IFERROR(__xludf.DUMMYFUNCTION("IMPORTRANGE(""https://docs.google.com/spreadsheets/d/11923uPwbBZFjjGgGUA6NLw09EwE0CqkOc4q9oUmW1yo/edit?usp=sharing"",""อุทัยธานี!I45"")"),4)</f>
        <v>4</v>
      </c>
      <c r="J110" s="203">
        <f ca="1">IFERROR(__xludf.DUMMYFUNCTION("IMPORTRANGE(""https://docs.google.com/spreadsheets/d/11923uPwbBZFjjGgGUA6NLw09EwE0CqkOc4q9oUmW1yo/edit?usp=sharing"",""อุทัยธานี!J45"")"),4)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IFERROR(__xludf.DUMMYFUNCTION("IMPORTRANGE(""https://docs.google.com/spreadsheets/d/11923uPwbBZFjjGgGUA6NLw09EwE0CqkOc4q9oUmW1yo/edit?usp=sharing"",""อุทัยธานี!I46"")"),4)</f>
        <v>4</v>
      </c>
      <c r="J111" s="203">
        <f ca="1">IFERROR(__xludf.DUMMYFUNCTION("IMPORTRANGE(""https://docs.google.com/spreadsheets/d/11923uPwbBZFjjGgGUA6NLw09EwE0CqkOc4q9oUmW1yo/edit?usp=sharing"",""อุทัยธานี!J46"")"),0)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IFERROR(__xludf.DUMMYFUNCTION("IMPORTRANGE(""https://docs.google.com/spreadsheets/d/11923uPwbBZFjjGgGUA6NLw09EwE0CqkOc4q9oUmW1yo/edit?usp=sharing"",""อุทัยธานี!I47"")"),4)</f>
        <v>4</v>
      </c>
      <c r="J112" s="203">
        <f ca="1">IFERROR(__xludf.DUMMYFUNCTION("IMPORTRANGE(""https://docs.google.com/spreadsheets/d/11923uPwbBZFjjGgGUA6NLw09EwE0CqkOc4q9oUmW1yo/edit?usp=sharing"",""อุทัยธานี!J47"")"),4)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IFERROR(__xludf.DUMMYFUNCTION("IMPORTRANGE(""https://docs.google.com/spreadsheets/d/11923uPwbBZFjjGgGUA6NLw09EwE0CqkOc4q9oUmW1yo/edit?usp=sharing"",""อุทัยธานี!I48"")"),1)</f>
        <v>1</v>
      </c>
      <c r="J113" s="203">
        <f ca="1">IFERROR(__xludf.DUMMYFUNCTION("IMPORTRANGE(""https://docs.google.com/spreadsheets/d/11923uPwbBZFjjGgGUA6NLw09EwE0CqkOc4q9oUmW1yo/edit?usp=sharing"",""อุทัยธานี!J48"")"),1)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IFERROR(__xludf.DUMMYFUNCTION("IMPORTRANGE(""https://docs.google.com/spreadsheets/d/11923uPwbBZFjjGgGUA6NLw09EwE0CqkOc4q9oUmW1yo/edit?usp=sharing"",""อุทัยธานี!J49"")"),0)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IFERROR(__xludf.DUMMYFUNCTION("IMPORTRANGE(""https://docs.google.com/spreadsheets/d/11923uPwbBZFjjGgGUA6NLw09EwE0CqkOc4q9oUmW1yo/edit?usp=sharing"",""อุทัยธานี!J50"")"),0)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IFERROR(__xludf.DUMMYFUNCTION("IMPORTRANGE(""https://docs.google.com/spreadsheets/d/11923uPwbBZFjjGgGUA6NLw09EwE0CqkOc4q9oUmW1yo/edit?usp=sharing"",""อุทัยธานี!I52"")"),0)</f>
        <v>0</v>
      </c>
      <c r="J117" s="142">
        <f ca="1">IFERROR(__xludf.DUMMYFUNCTION("IMPORTRANGE(""https://docs.google.com/spreadsheets/d/11923uPwbBZFjjGgGUA6NLw09EwE0CqkOc4q9oUmW1yo/edit?usp=sharing"",""อุทัยธานี!J52"")"),0)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IFERROR(__xludf.DUMMYFUNCTION("IMPORTRANGE(""https://docs.google.com/spreadsheets/d/1Yj_ptqi66GCucihVvJfMjLAmec39IyEx_6qawtMGysU/edit?usp=sharing"",""สบก!BA36"")"),0)</f>
        <v>0</v>
      </c>
      <c r="N122" s="168">
        <f ca="1">IFERROR(__xludf.DUMMYFUNCTION("IMPORTRANGE(""https://docs.google.com/spreadsheets/d/1Yj_ptqi66GCucihVvJfMjLAmec39IyEx_6qawtMGysU/edit?usp=sharing"",""สบก!BB36"")"),0)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IFERROR(__xludf.DUMMYFUNCTION("IMPORTRANGE(""https://docs.google.com/spreadsheets/d/1Yj_ptqi66GCucihVvJfMjLAmec39IyEx_6qawtMGysU/edit?usp=sharing"",""สบก!AW36"")"),0)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IFERROR(__xludf.DUMMYFUNCTION("IMPORTRANGE(""https://docs.google.com/spreadsheets/d/1Yj_ptqi66GCucihVvJfMjLAmec39IyEx_6qawtMGysU/edit?usp=sharing"",""สบก!AX36"")"),0)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IFERROR(__xludf.DUMMYFUNCTION("IMPORTRANGE(""https://docs.google.com/spreadsheets/d/1Yj_ptqi66GCucihVvJfMjLAmec39IyEx_6qawtMGysU/edit?usp=sharing"",""สบก!AY36"")"),0)</f>
        <v>0</v>
      </c>
      <c r="M126" s="50"/>
      <c r="N126" s="50">
        <f ca="1">IFERROR(__xludf.DUMMYFUNCTION("IMPORTRANGE(""https://docs.google.com/spreadsheets/d/1Yj_ptqi66GCucihVvJfMjLAmec39IyEx_6qawtMGysU/edit?usp=sharing"",""สบก!BC36"")"),0)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293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IFERROR(__xludf.DUMMYFUNCTION("IMPORTRANGE(""https://docs.google.com/spreadsheets/d/11923uPwbBZFjjGgGUA6NLw09EwE0CqkOc4q9oUmW1yo/edit?usp=sharing"",""อุทัยธานี!J58"")"),0)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IFERROR(__xludf.DUMMYFUNCTION("IMPORTRANGE(""https://docs.google.com/spreadsheets/d/11923uPwbBZFjjGgGUA6NLw09EwE0CqkOc4q9oUmW1yo/edit?usp=sharing"",""อุทัยธานี!J59"")"),0)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IFERROR(__xludf.DUMMYFUNCTION("IMPORTRANGE(""https://docs.google.com/spreadsheets/d/11923uPwbBZFjjGgGUA6NLw09EwE0CqkOc4q9oUmW1yo/edit?usp=sharing"",""อุทัยธานี!J60"")"),0)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IFERROR(__xludf.DUMMYFUNCTION("IMPORTRANGE(""https://docs.google.com/spreadsheets/d/11923uPwbBZFjjGgGUA6NLw09EwE0CqkOc4q9oUmW1yo/edit?usp=sharing"",""อุทัยธานี!J61"")"),0)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IFERROR(__xludf.DUMMYFUNCTION("IMPORTRANGE(""https://docs.google.com/spreadsheets/d/11923uPwbBZFjjGgGUA6NLw09EwE0CqkOc4q9oUmW1yo/edit?usp=sharing"",""อุทัยธานี!I62"")"),0)</f>
        <v>0</v>
      </c>
      <c r="J132" s="203">
        <f ca="1">IFERROR(__xludf.DUMMYFUNCTION("IMPORTRANGE(""https://docs.google.com/spreadsheets/d/11923uPwbBZFjjGgGUA6NLw09EwE0CqkOc4q9oUmW1yo/edit?usp=sharing"",""อุทัยธานี!J62"")"),0)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IFERROR(__xludf.DUMMYFUNCTION("IMPORTRANGE(""https://docs.google.com/spreadsheets/d/11923uPwbBZFjjGgGUA6NLw09EwE0CqkOc4q9oUmW1yo/edit?usp=sharing"",""อุทัยธานี!I63"")"),0)</f>
        <v>0</v>
      </c>
      <c r="J133" s="203">
        <f ca="1">IFERROR(__xludf.DUMMYFUNCTION("IMPORTRANGE(""https://docs.google.com/spreadsheets/d/11923uPwbBZFjjGgGUA6NLw09EwE0CqkOc4q9oUmW1yo/edit?usp=sharing"",""อุทัยธานี!J63"")"),0)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IFERROR(__xludf.DUMMYFUNCTION("IMPORTRANGE(""https://docs.google.com/spreadsheets/d/11923uPwbBZFjjGgGUA6NLw09EwE0CqkOc4q9oUmW1yo/edit?usp=sharing"",""อุทัยธานี!J64"")"),0)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IFERROR(__xludf.DUMMYFUNCTION("IMPORTRANGE(""https://docs.google.com/spreadsheets/d/11923uPwbBZFjjGgGUA6NLw09EwE0CqkOc4q9oUmW1yo/edit?usp=sharing"",""อุทัยธานี!J65"")"),0)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IFERROR(__xludf.DUMMYFUNCTION("IMPORTRANGE(""https://docs.google.com/spreadsheets/d/11923uPwbBZFjjGgGUA6NLw09EwE0CqkOc4q9oUmW1yo/edit?usp=sharing"",""อุทัยธานี!I68"")"),0)</f>
        <v>0</v>
      </c>
      <c r="J138" s="267">
        <f ca="1">IFERROR(__xludf.DUMMYFUNCTION("IMPORTRANGE(""https://docs.google.com/spreadsheets/d/11923uPwbBZFjjGgGUA6NLw09EwE0CqkOc4q9oUmW1yo/edit?usp=sharing"",""อุทัยธานี!J68"")"),0)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83500</v>
      </c>
      <c r="M140" s="152">
        <f t="shared" ca="1" si="64"/>
        <v>101725</v>
      </c>
      <c r="N140" s="152">
        <f t="shared" ca="1" si="64"/>
        <v>47290</v>
      </c>
      <c r="O140" s="151">
        <f t="shared" ref="O140:O142" ca="1" si="65">IF(L140&gt;0,N140*100/L140,0)</f>
        <v>56.634730538922156</v>
      </c>
      <c r="P140" s="151">
        <f t="shared" ref="P140:P142" ca="1" si="66">IF(M140&gt;0,N140*100/M140,0)</f>
        <v>46.48808060948636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83500</v>
      </c>
      <c r="M142" s="88">
        <f t="shared" ca="1" si="68"/>
        <v>101725</v>
      </c>
      <c r="N142" s="88">
        <f t="shared" ca="1" si="68"/>
        <v>47290</v>
      </c>
      <c r="O142" s="156">
        <f t="shared" ca="1" si="65"/>
        <v>56.634730538922156</v>
      </c>
      <c r="P142" s="156">
        <f t="shared" ca="1" si="66"/>
        <v>46.48808060948636</v>
      </c>
    </row>
    <row r="143" spans="1:16" ht="21.75" customHeight="1" x14ac:dyDescent="0.45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83500</v>
      </c>
      <c r="M144" s="167">
        <f ca="1">IFERROR(__xludf.DUMMYFUNCTION("IMPORTRANGE(""https://docs.google.com/spreadsheets/d/1Yj_ptqi66GCucihVvJfMjLAmec39IyEx_6qawtMGysU/edit?usp=sharing"",""สบก!BJ36"")"),101725)</f>
        <v>101725</v>
      </c>
      <c r="N144" s="168">
        <f ca="1">IFERROR(__xludf.DUMMYFUNCTION("IMPORTRANGE(""https://docs.google.com/spreadsheets/d/1Yj_ptqi66GCucihVvJfMjLAmec39IyEx_6qawtMGysU/edit?usp=sharing"",""สบก!BK36"")"),47290)</f>
        <v>47290</v>
      </c>
      <c r="O144" s="168">
        <f ca="1">IF(L144&gt;0,N144*100/L144,0)</f>
        <v>56.634730538922156</v>
      </c>
      <c r="P144" s="168">
        <f ca="1">IF(M144&gt;0,N144*100/M144,0)</f>
        <v>46.48808060948636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IFERROR(__xludf.DUMMYFUNCTION("IMPORTRANGE(""https://docs.google.com/spreadsheets/d/1Yj_ptqi66GCucihVvJfMjLAmec39IyEx_6qawtMGysU/edit?usp=sharing"",""สบก!BF36"")"),0)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IFERROR(__xludf.DUMMYFUNCTION("IMPORTRANGE(""https://docs.google.com/spreadsheets/d/1Yj_ptqi66GCucihVvJfMjLAmec39IyEx_6qawtMGysU/edit?usp=sharing"",""สบก!BG36"")"),83500)</f>
        <v>83500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IFERROR(__xludf.DUMMYFUNCTION("IMPORTRANGE(""https://docs.google.com/spreadsheets/d/1Yj_ptqi66GCucihVvJfMjLAmec39IyEx_6qawtMGysU/edit?usp=sharing"",""สบก!BH36"")"),0)</f>
        <v>0</v>
      </c>
      <c r="M148" s="50"/>
      <c r="N148" s="50">
        <f ca="1">IFERROR(__xludf.DUMMYFUNCTION("IMPORTRANGE(""https://docs.google.com/spreadsheets/d/1Yj_ptqi66GCucihVvJfMjLAmec39IyEx_6qawtMGysU/edit?usp=sharing"",""สบก!BL36"")"),0)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IFERROR(__xludf.DUMMYFUNCTION("IMPORTRANGE(""https://docs.google.com/spreadsheets/d/11923uPwbBZFjjGgGUA6NLw09EwE0CqkOc4q9oUmW1yo/edit?usp=sharing"",""อุทัยธานี!I74"")"),4)</f>
        <v>4</v>
      </c>
      <c r="J149" s="275">
        <f ca="1">IFERROR(__xludf.DUMMYFUNCTION("IMPORTRANGE(""https://docs.google.com/spreadsheets/d/11923uPwbBZFjjGgGUA6NLw09EwE0CqkOc4q9oUmW1yo/edit?usp=sharing"",""อุทัยธานี!J74"")"),2)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IFERROR(__xludf.DUMMYFUNCTION("IMPORTRANGE(""https://docs.google.com/spreadsheets/d/11923uPwbBZFjjGgGUA6NLw09EwE0CqkOc4q9oUmW1yo/edit?usp=sharing"",""อุทัยธานี!J79"")"),0)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IFERROR(__xludf.DUMMYFUNCTION("IMPORTRANGE(""https://docs.google.com/spreadsheets/d/11923uPwbBZFjjGgGUA6NLw09EwE0CqkOc4q9oUmW1yo/edit?usp=sharing"",""อุทัยธานี!J80"")"),1)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IFERROR(__xludf.DUMMYFUNCTION("IMPORTRANGE(""https://docs.google.com/spreadsheets/d/11923uPwbBZFjjGgGUA6NLw09EwE0CqkOc4q9oUmW1yo/edit?usp=sharing"",""อุทัยธานี!J81"")"),0)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IFERROR(__xludf.DUMMYFUNCTION("IMPORTRANGE(""https://docs.google.com/spreadsheets/d/11923uPwbBZFjjGgGUA6NLw09EwE0CqkOc4q9oUmW1yo/edit?usp=sharing"",""อุทัยธานี!J82"")"),0)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IFERROR(__xludf.DUMMYFUNCTION("IMPORTRANGE(""https://docs.google.com/spreadsheets/d/11923uPwbBZFjjGgGUA6NLw09EwE0CqkOc4q9oUmW1yo/edit?usp=sharing"",""อุทัยธานี!I83"")"),4)</f>
        <v>4</v>
      </c>
      <c r="J158" s="188">
        <f ca="1">IFERROR(__xludf.DUMMYFUNCTION("IMPORTRANGE(""https://docs.google.com/spreadsheets/d/11923uPwbBZFjjGgGUA6NLw09EwE0CqkOc4q9oUmW1yo/edit?usp=sharing"",""อุทัยธานี!J83"")"),2)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IFERROR(__xludf.DUMMYFUNCTION("IMPORTRANGE(""https://docs.google.com/spreadsheets/d/11923uPwbBZFjjGgGUA6NLw09EwE0CqkOc4q9oUmW1yo/edit?usp=sharing"",""อุทัยธานี!J84"")"),10)</f>
        <v>10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IFERROR(__xludf.DUMMYFUNCTION("IMPORTRANGE(""https://docs.google.com/spreadsheets/d/11923uPwbBZFjjGgGUA6NLw09EwE0CqkOc4q9oUmW1yo/edit?usp=sharing"",""อุทัยธานี!J85"")"),10)</f>
        <v>10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IFERROR(__xludf.DUMMYFUNCTION("IMPORTRANGE(""https://docs.google.com/spreadsheets/d/11923uPwbBZFjjGgGUA6NLw09EwE0CqkOc4q9oUmW1yo/edit?usp=sharing"",""อุทัยธานี!J86"")"),0)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IFERROR(__xludf.DUMMYFUNCTION("IMPORTRANGE(""https://docs.google.com/spreadsheets/d/11923uPwbBZFjjGgGUA6NLw09EwE0CqkOc4q9oUmW1yo/edit?usp=sharing"",""อุทัยธานี!J87"")"),0)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IFERROR(__xludf.DUMMYFUNCTION("IMPORTRANGE(""https://docs.google.com/spreadsheets/d/11923uPwbBZFjjGgGUA6NLw09EwE0CqkOc4q9oUmW1yo/edit?usp=sharing"",""อุทัยธานี!J88"")"),0)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IFERROR(__xludf.DUMMYFUNCTION("IMPORTRANGE(""https://docs.google.com/spreadsheets/d/11923uPwbBZFjjGgGUA6NLw09EwE0CqkOc4q9oUmW1yo/edit?usp=sharing"",""อุทัยธานี!I89"")"),3)</f>
        <v>3</v>
      </c>
      <c r="J164" s="284">
        <f ca="1">IFERROR(__xludf.DUMMYFUNCTION("IMPORTRANGE(""https://docs.google.com/spreadsheets/d/11923uPwbBZFjjGgGUA6NLw09EwE0CqkOc4q9oUmW1yo/edit?usp=sharing"",""อุทัยธานี!J89"")"),3)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IFERROR(__xludf.DUMMYFUNCTION("IMPORTRANGE(""https://docs.google.com/spreadsheets/d/11923uPwbBZFjjGgGUA6NLw09EwE0CqkOc4q9oUmW1yo/edit?usp=sharing"",""อุทัยธานี!J94"")"),0)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IFERROR(__xludf.DUMMYFUNCTION("IMPORTRANGE(""https://docs.google.com/spreadsheets/d/11923uPwbBZFjjGgGUA6NLw09EwE0CqkOc4q9oUmW1yo/edit?usp=sharing"",""อุทัยธานี!J95"")"),1)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IFERROR(__xludf.DUMMYFUNCTION("IMPORTRANGE(""https://docs.google.com/spreadsheets/d/11923uPwbBZFjjGgGUA6NLw09EwE0CqkOc4q9oUmW1yo/edit?usp=sharing"",""อุทัยธานี!J96"")"),0)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IFERROR(__xludf.DUMMYFUNCTION("IMPORTRANGE(""https://docs.google.com/spreadsheets/d/11923uPwbBZFjjGgGUA6NLw09EwE0CqkOc4q9oUmW1yo/edit?usp=sharing"",""อุทัยธานี!J97"")"),0)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IFERROR(__xludf.DUMMYFUNCTION("IMPORTRANGE(""https://docs.google.com/spreadsheets/d/11923uPwbBZFjjGgGUA6NLw09EwE0CqkOc4q9oUmW1yo/edit?usp=sharing"",""อุทัยธานี!I98"")"),3)</f>
        <v>3</v>
      </c>
      <c r="J173" s="188">
        <f ca="1">IFERROR(__xludf.DUMMYFUNCTION("IMPORTRANGE(""https://docs.google.com/spreadsheets/d/11923uPwbBZFjjGgGUA6NLw09EwE0CqkOc4q9oUmW1yo/edit?usp=sharing"",""อุทัยธานี!J98"")"),3)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IFERROR(__xludf.DUMMYFUNCTION("IMPORTRANGE(""https://docs.google.com/spreadsheets/d/11923uPwbBZFjjGgGUA6NLw09EwE0CqkOc4q9oUmW1yo/edit?usp=sharing"",""อุทัยธานี!J99"")"),0)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IFERROR(__xludf.DUMMYFUNCTION("IMPORTRANGE(""https://docs.google.com/spreadsheets/d/11923uPwbBZFjjGgGUA6NLw09EwE0CqkOc4q9oUmW1yo/edit?usp=sharing"",""อุทัยธานี!J100"")"),0)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IFERROR(__xludf.DUMMYFUNCTION("IMPORTRANGE(""https://docs.google.com/spreadsheets/d/11923uPwbBZFjjGgGUA6NLw09EwE0CqkOc4q9oUmW1yo/edit?usp=sharing"",""อุทัยธานี!I101"")"),0)</f>
        <v>0</v>
      </c>
      <c r="J176" s="284">
        <f ca="1">IFERROR(__xludf.DUMMYFUNCTION("IMPORTRANGE(""https://docs.google.com/spreadsheets/d/11923uPwbBZFjjGgGUA6NLw09EwE0CqkOc4q9oUmW1yo/edit?usp=sharing"",""อุทัยธานี!J101"")"),0)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IFERROR(__xludf.DUMMYFUNCTION("IMPORTRANGE(""https://docs.google.com/spreadsheets/d/11923uPwbBZFjjGgGUA6NLw09EwE0CqkOc4q9oUmW1yo/edit?usp=sharing"",""อุทัยธานี!J106"")"),0)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IFERROR(__xludf.DUMMYFUNCTION("IMPORTRANGE(""https://docs.google.com/spreadsheets/d/11923uPwbBZFjjGgGUA6NLw09EwE0CqkOc4q9oUmW1yo/edit?usp=sharing"",""อุทัยธานี!J107"")"),0)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IFERROR(__xludf.DUMMYFUNCTION("IMPORTRANGE(""https://docs.google.com/spreadsheets/d/11923uPwbBZFjjGgGUA6NLw09EwE0CqkOc4q9oUmW1yo/edit?usp=sharing"",""อุทัยธานี!J108"")"),0)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IFERROR(__xludf.DUMMYFUNCTION("IMPORTRANGE(""https://docs.google.com/spreadsheets/d/11923uPwbBZFjjGgGUA6NLw09EwE0CqkOc4q9oUmW1yo/edit?usp=sharing"",""อุทัยธานี!J109"")"),0)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IFERROR(__xludf.DUMMYFUNCTION("IMPORTRANGE(""https://docs.google.com/spreadsheets/d/11923uPwbBZFjjGgGUA6NLw09EwE0CqkOc4q9oUmW1yo/edit?usp=sharing"",""อุทัยธานี!I110"")"),0)</f>
        <v>0</v>
      </c>
      <c r="J185" s="203">
        <f ca="1">IFERROR(__xludf.DUMMYFUNCTION("IMPORTRANGE(""https://docs.google.com/spreadsheets/d/11923uPwbBZFjjGgGUA6NLw09EwE0CqkOc4q9oUmW1yo/edit?usp=sharing"",""อุทัยธานี!J110"")"),0)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IFERROR(__xludf.DUMMYFUNCTION("IMPORTRANGE(""https://docs.google.com/spreadsheets/d/11923uPwbBZFjjGgGUA6NLw09EwE0CqkOc4q9oUmW1yo/edit?usp=sharing"",""อุทัยธานี!I111"")"),0)</f>
        <v>0</v>
      </c>
      <c r="J186" s="203">
        <f ca="1">IFERROR(__xludf.DUMMYFUNCTION("IMPORTRANGE(""https://docs.google.com/spreadsheets/d/11923uPwbBZFjjGgGUA6NLw09EwE0CqkOc4q9oUmW1yo/edit?usp=sharing"",""อุทัยธานี!J111"")"),0)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IFERROR(__xludf.DUMMYFUNCTION("IMPORTRANGE(""https://docs.google.com/spreadsheets/d/11923uPwbBZFjjGgGUA6NLw09EwE0CqkOc4q9oUmW1yo/edit?usp=sharing"",""อุทัยธานี!J112"")"),0)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IFERROR(__xludf.DUMMYFUNCTION("IMPORTRANGE(""https://docs.google.com/spreadsheets/d/11923uPwbBZFjjGgGUA6NLw09EwE0CqkOc4q9oUmW1yo/edit?usp=sharing"",""อุทัยธานี!J113"")"),0)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IFERROR(__xludf.DUMMYFUNCTION("IMPORTRANGE(""https://docs.google.com/spreadsheets/d/11923uPwbBZFjjGgGUA6NLw09EwE0CqkOc4q9oUmW1yo/edit?usp=sharing"",""อุทัยธานี!I114"")"),100000)</f>
        <v>100000</v>
      </c>
      <c r="J189" s="284">
        <f ca="1">IFERROR(__xludf.DUMMYFUNCTION("IMPORTRANGE(""https://docs.google.com/spreadsheets/d/11923uPwbBZFjjGgGUA6NLw09EwE0CqkOc4q9oUmW1yo/edit?usp=sharing"",""อุทัยธานี!J114"")"),0)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IFERROR(__xludf.DUMMYFUNCTION("IMPORTRANGE(""https://docs.google.com/spreadsheets/d/11923uPwbBZFjjGgGUA6NLw09EwE0CqkOc4q9oUmW1yo/edit?usp=sharing"",""อุทัยธานี!J119"")"),0)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IFERROR(__xludf.DUMMYFUNCTION("IMPORTRANGE(""https://docs.google.com/spreadsheets/d/11923uPwbBZFjjGgGUA6NLw09EwE0CqkOc4q9oUmW1yo/edit?usp=sharing"",""อุทัยธานี!J120"")"),1)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IFERROR(__xludf.DUMMYFUNCTION("IMPORTRANGE(""https://docs.google.com/spreadsheets/d/11923uPwbBZFjjGgGUA6NLw09EwE0CqkOc4q9oUmW1yo/edit?usp=sharing"",""อุทัยธานี!J121"")"),0)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IFERROR(__xludf.DUMMYFUNCTION("IMPORTRANGE(""https://docs.google.com/spreadsheets/d/11923uPwbBZFjjGgGUA6NLw09EwE0CqkOc4q9oUmW1yo/edit?usp=sharing"",""อุทัยธานี!J122"")"),0)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IFERROR(__xludf.DUMMYFUNCTION("IMPORTRANGE(""https://docs.google.com/spreadsheets/d/11923uPwbBZFjjGgGUA6NLw09EwE0CqkOc4q9oUmW1yo/edit?usp=sharing"",""อุทัยธานี!I124"")"),100000)</f>
        <v>100000</v>
      </c>
      <c r="J199" s="188">
        <f ca="1">IFERROR(__xludf.DUMMYFUNCTION("IMPORTRANGE(""https://docs.google.com/spreadsheets/d/11923uPwbBZFjjGgGUA6NLw09EwE0CqkOc4q9oUmW1yo/edit?usp=sharing"",""อุทัยธานี!J124"")"),0)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IFERROR(__xludf.DUMMYFUNCTION("IMPORTRANGE(""https://docs.google.com/spreadsheets/d/11923uPwbBZFjjGgGUA6NLw09EwE0CqkOc4q9oUmW1yo/edit?usp=sharing"",""อุทัยธานี!I125"")"),100000)</f>
        <v>100000</v>
      </c>
      <c r="J200" s="188">
        <f ca="1">IFERROR(__xludf.DUMMYFUNCTION("IMPORTRANGE(""https://docs.google.com/spreadsheets/d/11923uPwbBZFjjGgGUA6NLw09EwE0CqkOc4q9oUmW1yo/edit?usp=sharing"",""อุทัยธานี!J125"")"),0)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IFERROR(__xludf.DUMMYFUNCTION("IMPORTRANGE(""https://docs.google.com/spreadsheets/d/11923uPwbBZFjjGgGUA6NLw09EwE0CqkOc4q9oUmW1yo/edit?usp=sharing"",""อุทัยธานี!I126"")"),0)</f>
        <v>0</v>
      </c>
      <c r="J201" s="188">
        <f ca="1">IFERROR(__xludf.DUMMYFUNCTION("IMPORTRANGE(""https://docs.google.com/spreadsheets/d/11923uPwbBZFjjGgGUA6NLw09EwE0CqkOc4q9oUmW1yo/edit?usp=sharing"",""อุทัยธานี!J126"")"),0)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IFERROR(__xludf.DUMMYFUNCTION("IMPORTRANGE(""https://docs.google.com/spreadsheets/d/11923uPwbBZFjjGgGUA6NLw09EwE0CqkOc4q9oUmW1yo/edit?usp=sharing"",""อุทัยธานี!J127"")"),0)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IFERROR(__xludf.DUMMYFUNCTION("IMPORTRANGE(""https://docs.google.com/spreadsheets/d/11923uPwbBZFjjGgGUA6NLw09EwE0CqkOc4q9oUmW1yo/edit?usp=sharing"",""อุทัยธานี!J128"")"),0)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IFERROR(__xludf.DUMMYFUNCTION("IMPORTRANGE(""https://docs.google.com/spreadsheets/d/11923uPwbBZFjjGgGUA6NLw09EwE0CqkOc4q9oUmW1yo/edit?usp=sharing"",""อุทัยธานี!I129"")"),0)</f>
        <v>0</v>
      </c>
      <c r="J204" s="284">
        <f ca="1">IFERROR(__xludf.DUMMYFUNCTION("IMPORTRANGE(""https://docs.google.com/spreadsheets/d/11923uPwbBZFjjGgGUA6NLw09EwE0CqkOc4q9oUmW1yo/edit?usp=sharing"",""อุทัยธานี!J129"")"),0)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IFERROR(__xludf.DUMMYFUNCTION("IMPORTRANGE(""https://docs.google.com/spreadsheets/d/11923uPwbBZFjjGgGUA6NLw09EwE0CqkOc4q9oUmW1yo/edit?usp=sharing"",""อุทัยธานี!J134"")"),0)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IFERROR(__xludf.DUMMYFUNCTION("IMPORTRANGE(""https://docs.google.com/spreadsheets/d/11923uPwbBZFjjGgGUA6NLw09EwE0CqkOc4q9oUmW1yo/edit?usp=sharing"",""อุทัยธานี!J135"")"),0)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IFERROR(__xludf.DUMMYFUNCTION("IMPORTRANGE(""https://docs.google.com/spreadsheets/d/11923uPwbBZFjjGgGUA6NLw09EwE0CqkOc4q9oUmW1yo/edit?usp=sharing"",""อุทัยธานี!J136"")"),0)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IFERROR(__xludf.DUMMYFUNCTION("IMPORTRANGE(""https://docs.google.com/spreadsheets/d/11923uPwbBZFjjGgGUA6NLw09EwE0CqkOc4q9oUmW1yo/edit?usp=sharing"",""อุทัยธานี!J137"")"),0)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IFERROR(__xludf.DUMMYFUNCTION("IMPORTRANGE(""https://docs.google.com/spreadsheets/d/11923uPwbBZFjjGgGUA6NLw09EwE0CqkOc4q9oUmW1yo/edit?usp=sharing"",""อุทัยธานี!I138"")"),0)</f>
        <v>0</v>
      </c>
      <c r="J213" s="203">
        <f ca="1">IFERROR(__xludf.DUMMYFUNCTION("IMPORTRANGE(""https://docs.google.com/spreadsheets/d/11923uPwbBZFjjGgGUA6NLw09EwE0CqkOc4q9oUmW1yo/edit?usp=sharing"",""อุทัยธานี!J138"")"),0)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IFERROR(__xludf.DUMMYFUNCTION("IMPORTRANGE(""https://docs.google.com/spreadsheets/d/11923uPwbBZFjjGgGUA6NLw09EwE0CqkOc4q9oUmW1yo/edit?usp=sharing"",""อุทัยธานี!I140"")"),0)</f>
        <v>0</v>
      </c>
      <c r="J215" s="203">
        <f ca="1">IFERROR(__xludf.DUMMYFUNCTION("IMPORTRANGE(""https://docs.google.com/spreadsheets/d/11923uPwbBZFjjGgGUA6NLw09EwE0CqkOc4q9oUmW1yo/edit?usp=sharing"",""อุทัยธานี!J140"")"),0)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IFERROR(__xludf.DUMMYFUNCTION("IMPORTRANGE(""https://docs.google.com/spreadsheets/d/11923uPwbBZFjjGgGUA6NLw09EwE0CqkOc4q9oUmW1yo/edit?usp=sharing"",""อุทัยธานี!I141"")"),0)</f>
        <v>0</v>
      </c>
      <c r="J216" s="203">
        <f ca="1">IFERROR(__xludf.DUMMYFUNCTION("IMPORTRANGE(""https://docs.google.com/spreadsheets/d/11923uPwbBZFjjGgGUA6NLw09EwE0CqkOc4q9oUmW1yo/edit?usp=sharing"",""อุทัยธานี!J141"")"),0)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IFERROR(__xludf.DUMMYFUNCTION("IMPORTRANGE(""https://docs.google.com/spreadsheets/d/11923uPwbBZFjjGgGUA6NLw09EwE0CqkOc4q9oUmW1yo/edit?usp=sharing"",""อุทัยธานี!J142"")"),0)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IFERROR(__xludf.DUMMYFUNCTION("IMPORTRANGE(""https://docs.google.com/spreadsheets/d/11923uPwbBZFjjGgGUA6NLw09EwE0CqkOc4q9oUmW1yo/edit?usp=sharing"",""อุทัยธานี!J143"")"),0)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IFERROR(__xludf.DUMMYFUNCTION("IMPORTRANGE(""https://docs.google.com/spreadsheets/d/11923uPwbBZFjjGgGUA6NLw09EwE0CqkOc4q9oUmW1yo/edit?usp=sharing"",""อุทัยธานี!I144"")"),15)</f>
        <v>15</v>
      </c>
      <c r="J219" s="267">
        <f ca="1">IFERROR(__xludf.DUMMYFUNCTION("IMPORTRANGE(""https://docs.google.com/spreadsheets/d/11923uPwbBZFjjGgGUA6NLw09EwE0CqkOc4q9oUmW1yo/edit?usp=sharing"",""อุทัยธานี!J144"")"),15)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20505</v>
      </c>
      <c r="O220" s="151">
        <f t="shared" ref="O220:O222" ca="1" si="73">IF(L220&gt;0,N220*100/L220,0)</f>
        <v>97.065088757396452</v>
      </c>
      <c r="P220" s="151">
        <f t="shared" ref="P220:P222" ca="1" si="74">IF(M220&gt;0,N220*100/M220,0)</f>
        <v>97.065088757396452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20505</v>
      </c>
      <c r="O222" s="156">
        <f t="shared" ca="1" si="73"/>
        <v>97.065088757396452</v>
      </c>
      <c r="P222" s="156">
        <f t="shared" ca="1" si="74"/>
        <v>97.065088757396452</v>
      </c>
    </row>
    <row r="223" spans="1:16" ht="21.75" customHeight="1" x14ac:dyDescent="0.45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IFERROR(__xludf.DUMMYFUNCTION("IMPORTRANGE(""https://docs.google.com/spreadsheets/d/1Yj_ptqi66GCucihVvJfMjLAmec39IyEx_6qawtMGysU/edit?usp=sharing"",""สบก!BS36"")"),21125)</f>
        <v>21125</v>
      </c>
      <c r="N224" s="168">
        <f ca="1">IFERROR(__xludf.DUMMYFUNCTION("IMPORTRANGE(""https://docs.google.com/spreadsheets/d/1Yj_ptqi66GCucihVvJfMjLAmec39IyEx_6qawtMGysU/edit?usp=sharing"",""สบก!BT36"")"),20505)</f>
        <v>20505</v>
      </c>
      <c r="O224" s="168">
        <f ca="1">IF(L224&gt;0,N224*100/L224,0)</f>
        <v>97.065088757396452</v>
      </c>
      <c r="P224" s="168">
        <f ca="1">IF(M224&gt;0,N224*100/M224,0)</f>
        <v>97.065088757396452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IFERROR(__xludf.DUMMYFUNCTION("IMPORTRANGE(""https://docs.google.com/spreadsheets/d/1Yj_ptqi66GCucihVvJfMjLAmec39IyEx_6qawtMGysU/edit?usp=sharing"",""สบก!BO36"")"),0)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IFERROR(__xludf.DUMMYFUNCTION("IMPORTRANGE(""https://docs.google.com/spreadsheets/d/1Yj_ptqi66GCucihVvJfMjLAmec39IyEx_6qawtMGysU/edit?usp=sharing"",""สบก!BP36"")"),21125)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IFERROR(__xludf.DUMMYFUNCTION("IMPORTRANGE(""https://docs.google.com/spreadsheets/d/1Yj_ptqi66GCucihVvJfMjLAmec39IyEx_6qawtMGysU/edit?usp=sharing"",""สบก!BQ36"")"),0)</f>
        <v>0</v>
      </c>
      <c r="M228" s="50"/>
      <c r="N228" s="50">
        <f ca="1">IFERROR(__xludf.DUMMYFUNCTION("IMPORTRANGE(""https://docs.google.com/spreadsheets/d/1Yj_ptqi66GCucihVvJfMjLAmec39IyEx_6qawtMGysU/edit?usp=sharing"",""สบก!BU36"")"),0)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IFERROR(__xludf.DUMMYFUNCTION("IMPORTRANGE(""https://docs.google.com/spreadsheets/d/11923uPwbBZFjjGgGUA6NLw09EwE0CqkOc4q9oUmW1yo/edit?usp=sharing"",""อุทัยธานี!I149"")"),15)</f>
        <v>15</v>
      </c>
      <c r="J229" s="267">
        <f ca="1">IFERROR(__xludf.DUMMYFUNCTION("IMPORTRANGE(""https://docs.google.com/spreadsheets/d/11923uPwbBZFjjGgGUA6NLw09EwE0CqkOc4q9oUmW1yo/edit?usp=sharing"",""อุทัยธานี!J149"")"),15)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IFERROR(__xludf.DUMMYFUNCTION("IMPORTRANGE(""https://docs.google.com/spreadsheets/d/11923uPwbBZFjjGgGUA6NLw09EwE0CqkOc4q9oUmW1yo/edit?usp=sharing"",""อุทัยธานี!J151"")"),0)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IFERROR(__xludf.DUMMYFUNCTION("IMPORTRANGE(""https://docs.google.com/spreadsheets/d/11923uPwbBZFjjGgGUA6NLw09EwE0CqkOc4q9oUmW1yo/edit?usp=sharing"",""อุทัยธานี!J152"")"),1)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IFERROR(__xludf.DUMMYFUNCTION("IMPORTRANGE(""https://docs.google.com/spreadsheets/d/11923uPwbBZFjjGgGUA6NLw09EwE0CqkOc4q9oUmW1yo/edit?usp=sharing"",""อุทัยธานี!J153"")"),1)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IFERROR(__xludf.DUMMYFUNCTION("IMPORTRANGE(""https://docs.google.com/spreadsheets/d/11923uPwbBZFjjGgGUA6NLw09EwE0CqkOc4q9oUmW1yo/edit?usp=sharing"",""อุทัยธานี!J154"")"),1)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IFERROR(__xludf.DUMMYFUNCTION("IMPORTRANGE(""https://docs.google.com/spreadsheets/d/11923uPwbBZFjjGgGUA6NLw09EwE0CqkOc4q9oUmW1yo/edit?usp=sharing"",""อุทัยธานี!I155"")"),15)</f>
        <v>15</v>
      </c>
      <c r="J235" s="188">
        <f ca="1">IFERROR(__xludf.DUMMYFUNCTION("IMPORTRANGE(""https://docs.google.com/spreadsheets/d/11923uPwbBZFjjGgGUA6NLw09EwE0CqkOc4q9oUmW1yo/edit?usp=sharing"",""อุทัยธานี!J155"")"),15)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IFERROR(__xludf.DUMMYFUNCTION("IMPORTRANGE(""https://docs.google.com/spreadsheets/d/11923uPwbBZFjjGgGUA6NLw09EwE0CqkOc4q9oUmW1yo/edit?usp=sharing"",""อุทัยธานี!J156"")"),0)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IFERROR(__xludf.DUMMYFUNCTION("IMPORTRANGE(""https://docs.google.com/spreadsheets/d/11923uPwbBZFjjGgGUA6NLw09EwE0CqkOc4q9oUmW1yo/edit?usp=sharing"",""อุทัยธานี!J157"")"),0)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IFERROR(__xludf.DUMMYFUNCTION("IMPORTRANGE(""https://docs.google.com/spreadsheets/d/11923uPwbBZFjjGgGUA6NLw09EwE0CqkOc4q9oUmW1yo/edit?usp=sharing"",""อุทัยธานี!I158"")"),0)</f>
        <v>0</v>
      </c>
      <c r="J238" s="267">
        <f ca="1">IFERROR(__xludf.DUMMYFUNCTION("IMPORTRANGE(""https://docs.google.com/spreadsheets/d/11923uPwbBZFjjGgGUA6NLw09EwE0CqkOc4q9oUmW1yo/edit?usp=sharing"",""อุทัยธานี!J158"")"),0)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IFERROR(__xludf.DUMMYFUNCTION("IMPORTRANGE(""https://docs.google.com/spreadsheets/d/11923uPwbBZFjjGgGUA6NLw09EwE0CqkOc4q9oUmW1yo/edit?usp=sharing"",""อุทัยธานี!J159"")"),"")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IFERROR(__xludf.DUMMYFUNCTION("IMPORTRANGE(""https://docs.google.com/spreadsheets/d/11923uPwbBZFjjGgGUA6NLw09EwE0CqkOc4q9oUmW1yo/edit?usp=sharing"",""อุทัยธานี!J161"")"),0)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IFERROR(__xludf.DUMMYFUNCTION("IMPORTRANGE(""https://docs.google.com/spreadsheets/d/11923uPwbBZFjjGgGUA6NLw09EwE0CqkOc4q9oUmW1yo/edit?usp=sharing"",""อุทัยธานี!J162"")"),0)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IFERROR(__xludf.DUMMYFUNCTION("IMPORTRANGE(""https://docs.google.com/spreadsheets/d/11923uPwbBZFjjGgGUA6NLw09EwE0CqkOc4q9oUmW1yo/edit?usp=sharing"",""อุทัยธานี!J163"")"),0)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IFERROR(__xludf.DUMMYFUNCTION("IMPORTRANGE(""https://docs.google.com/spreadsheets/d/11923uPwbBZFjjGgGUA6NLw09EwE0CqkOc4q9oUmW1yo/edit?usp=sharing"",""อุทัยธานี!I164"")"),0)</f>
        <v>0</v>
      </c>
      <c r="J244" s="187">
        <f ca="1">IFERROR(__xludf.DUMMYFUNCTION("IMPORTRANGE(""https://docs.google.com/spreadsheets/d/11923uPwbBZFjjGgGUA6NLw09EwE0CqkOc4q9oUmW1yo/edit?usp=sharing"",""อุทัยธานี!J164"")"),0)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IFERROR(__xludf.DUMMYFUNCTION("IMPORTRANGE(""https://docs.google.com/spreadsheets/d/11923uPwbBZFjjGgGUA6NLw09EwE0CqkOc4q9oUmW1yo/edit?usp=sharing"",""อุทัยธานี!J165"")"),0)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IFERROR(__xludf.DUMMYFUNCTION("IMPORTRANGE(""https://docs.google.com/spreadsheets/d/11923uPwbBZFjjGgGUA6NLw09EwE0CqkOc4q9oUmW1yo/edit?usp=sharing"",""อุทัยธานี!J166"")"),0)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IFERROR(__xludf.DUMMYFUNCTION("IMPORTRANGE(""https://docs.google.com/spreadsheets/d/11923uPwbBZFjjGgGUA6NLw09EwE0CqkOc4q9oUmW1yo/edit?usp=sharing"",""อุทัยธานี!I169"")"),20)</f>
        <v>20</v>
      </c>
      <c r="J249" s="316">
        <f ca="1">IFERROR(__xludf.DUMMYFUNCTION("IMPORTRANGE(""https://docs.google.com/spreadsheets/d/11923uPwbBZFjjGgGUA6NLw09EwE0CqkOc4q9oUmW1yo/edit?usp=sharing"",""อุทัยธานี!J169"")"),20)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141000</v>
      </c>
      <c r="N250" s="152">
        <f t="shared" ca="1" si="77"/>
        <v>125359</v>
      </c>
      <c r="O250" s="151">
        <f t="shared" ref="O250:O252" ca="1" si="78">IF(L250&gt;0,N250*100/L250,0)</f>
        <v>61.631760078662737</v>
      </c>
      <c r="P250" s="151">
        <f t="shared" ref="P250:P252" ca="1" si="79">IF(M250&gt;0,N250*100/M250,0)</f>
        <v>88.907092198581566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141000</v>
      </c>
      <c r="N252" s="88">
        <f t="shared" ca="1" si="81"/>
        <v>125359</v>
      </c>
      <c r="O252" s="156">
        <f t="shared" ca="1" si="78"/>
        <v>61.631760078662737</v>
      </c>
      <c r="P252" s="156">
        <f t="shared" ca="1" si="79"/>
        <v>88.907092198581566</v>
      </c>
    </row>
    <row r="253" spans="1:16" ht="21.75" customHeight="1" x14ac:dyDescent="0.45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IFERROR(__xludf.DUMMYFUNCTION("IMPORTRANGE(""https://docs.google.com/spreadsheets/d/1Yj_ptqi66GCucihVvJfMjLAmec39IyEx_6qawtMGysU/edit?usp=sharing"",""สบก!CB36"")"),141000)</f>
        <v>141000</v>
      </c>
      <c r="N254" s="168">
        <f ca="1">IFERROR(__xludf.DUMMYFUNCTION("IMPORTRANGE(""https://docs.google.com/spreadsheets/d/1Yj_ptqi66GCucihVvJfMjLAmec39IyEx_6qawtMGysU/edit?usp=sharing"",""สบก!CC36"")"),125359)</f>
        <v>125359</v>
      </c>
      <c r="O254" s="168">
        <f ca="1">IF(L254&gt;0,N254*100/L254,0)</f>
        <v>61.631760078662737</v>
      </c>
      <c r="P254" s="168">
        <f ca="1">IF(M254&gt;0,N254*100/M254,0)</f>
        <v>88.907092198581566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IFERROR(__xludf.DUMMYFUNCTION("IMPORTRANGE(""https://docs.google.com/spreadsheets/d/1Yj_ptqi66GCucihVvJfMjLAmec39IyEx_6qawtMGysU/edit?usp=sharing"",""สบก!BX36"")"),132000)</f>
        <v>132000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IFERROR(__xludf.DUMMYFUNCTION("IMPORTRANGE(""https://docs.google.com/spreadsheets/d/1Yj_ptqi66GCucihVvJfMjLAmec39IyEx_6qawtMGysU/edit?usp=sharing"",""สบก!BY36"")"),71400)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IFERROR(__xludf.DUMMYFUNCTION("IMPORTRANGE(""https://docs.google.com/spreadsheets/d/1Yj_ptqi66GCucihVvJfMjLAmec39IyEx_6qawtMGysU/edit?usp=sharing"",""สบก!BZ36"")"),0)</f>
        <v>0</v>
      </c>
      <c r="M258" s="50"/>
      <c r="N258" s="50">
        <f ca="1">IFERROR(__xludf.DUMMYFUNCTION("IMPORTRANGE(""https://docs.google.com/spreadsheets/d/1Yj_ptqi66GCucihVvJfMjLAmec39IyEx_6qawtMGysU/edit?usp=sharing"",""สบก!CD36"")"),0)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IFERROR(__xludf.DUMMYFUNCTION("IMPORTRANGE(""https://docs.google.com/spreadsheets/d/11923uPwbBZFjjGgGUA6NLw09EwE0CqkOc4q9oUmW1yo/edit?usp=sharing"",""อุทัยธานี!J175"")"),0)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IFERROR(__xludf.DUMMYFUNCTION("IMPORTRANGE(""https://docs.google.com/spreadsheets/d/11923uPwbBZFjjGgGUA6NLw09EwE0CqkOc4q9oUmW1yo/edit?usp=sharing"",""อุทัยธานี!J176"")"),1)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IFERROR(__xludf.DUMMYFUNCTION("IMPORTRANGE(""https://docs.google.com/spreadsheets/d/11923uPwbBZFjjGgGUA6NLw09EwE0CqkOc4q9oUmW1yo/edit?usp=sharing"",""อุทัยธานี!J177"")"),1)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IFERROR(__xludf.DUMMYFUNCTION("IMPORTRANGE(""https://docs.google.com/spreadsheets/d/11923uPwbBZFjjGgGUA6NLw09EwE0CqkOc4q9oUmW1yo/edit?usp=sharing"",""อุทัยธานี!J178"")"),0)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IFERROR(__xludf.DUMMYFUNCTION("IMPORTRANGE(""https://docs.google.com/spreadsheets/d/11923uPwbBZFjjGgGUA6NLw09EwE0CqkOc4q9oUmW1yo/edit?usp=sharing"",""อุทัยธานี!I179"")"),1)</f>
        <v>1</v>
      </c>
      <c r="J264" s="188">
        <f ca="1">IFERROR(__xludf.DUMMYFUNCTION("IMPORTRANGE(""https://docs.google.com/spreadsheets/d/11923uPwbBZFjjGgGUA6NLw09EwE0CqkOc4q9oUmW1yo/edit?usp=sharing"",""อุทัยธานี!J179"")"),0)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IFERROR(__xludf.DUMMYFUNCTION("IMPORTRANGE(""https://docs.google.com/spreadsheets/d/11923uPwbBZFjjGgGUA6NLw09EwE0CqkOc4q9oUmW1yo/edit?usp=sharing"",""อุทัยธานี!I180"")"),20)</f>
        <v>20</v>
      </c>
      <c r="J265" s="188">
        <f ca="1">IFERROR(__xludf.DUMMYFUNCTION("IMPORTRANGE(""https://docs.google.com/spreadsheets/d/11923uPwbBZFjjGgGUA6NLw09EwE0CqkOc4q9oUmW1yo/edit?usp=sharing"",""อุทัยธานี!J180"")"),20)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IFERROR(__xludf.DUMMYFUNCTION("IMPORTRANGE(""https://docs.google.com/spreadsheets/d/11923uPwbBZFjjGgGUA6NLw09EwE0CqkOc4q9oUmW1yo/edit?usp=sharing"",""อุทัยธานี!I181"")"),20)</f>
        <v>20</v>
      </c>
      <c r="J266" s="188">
        <f ca="1">IFERROR(__xludf.DUMMYFUNCTION("IMPORTRANGE(""https://docs.google.com/spreadsheets/d/11923uPwbBZFjjGgGUA6NLw09EwE0CqkOc4q9oUmW1yo/edit?usp=sharing"",""อุทัยธานี!J181"")"),0)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IFERROR(__xludf.DUMMYFUNCTION("IMPORTRANGE(""https://docs.google.com/spreadsheets/d/11923uPwbBZFjjGgGUA6NLw09EwE0CqkOc4q9oUmW1yo/edit?usp=sharing"",""อุทัยธานี!I182"")"),1)</f>
        <v>1</v>
      </c>
      <c r="J267" s="188">
        <f ca="1">IFERROR(__xludf.DUMMYFUNCTION("IMPORTRANGE(""https://docs.google.com/spreadsheets/d/11923uPwbBZFjjGgGUA6NLw09EwE0CqkOc4q9oUmW1yo/edit?usp=sharing"",""อุทัยธานี!J182"")"),0)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IFERROR(__xludf.DUMMYFUNCTION("IMPORTRANGE(""https://docs.google.com/spreadsheets/d/11923uPwbBZFjjGgGUA6NLw09EwE0CqkOc4q9oUmW1yo/edit?usp=sharing"",""อุทัยธานี!J183"")"),0)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IFERROR(__xludf.DUMMYFUNCTION("IMPORTRANGE(""https://docs.google.com/spreadsheets/d/11923uPwbBZFjjGgGUA6NLw09EwE0CqkOc4q9oUmW1yo/edit?usp=sharing"",""อุทัยธานี!J184"")"),0)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IFERROR(__xludf.DUMMYFUNCTION("IMPORTRANGE(""https://docs.google.com/spreadsheets/d/11923uPwbBZFjjGgGUA6NLw09EwE0CqkOc4q9oUmW1yo/edit?usp=sharing"",""อุทัยธานี!I185"")"),20)</f>
        <v>20</v>
      </c>
      <c r="J270" s="316">
        <f ca="1">IFERROR(__xludf.DUMMYFUNCTION("IMPORTRANGE(""https://docs.google.com/spreadsheets/d/11923uPwbBZFjjGgGUA6NLw09EwE0CqkOc4q9oUmW1yo/edit?usp=sharing"",""อุทัยธานี!J185"")"),20)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143212</v>
      </c>
      <c r="O271" s="151">
        <f t="shared" ref="O271:O273" ca="1" si="84">IF(L271&gt;0,N271*100/L271,0)</f>
        <v>78.002178649237479</v>
      </c>
      <c r="P271" s="151">
        <f t="shared" ref="P271:P273" ca="1" si="85">IF(M271&gt;0,N271*100/M271,0)</f>
        <v>88.621287128712865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161600</v>
      </c>
      <c r="N273" s="88">
        <f t="shared" ca="1" si="87"/>
        <v>143212</v>
      </c>
      <c r="O273" s="156">
        <f t="shared" ca="1" si="84"/>
        <v>78.002178649237479</v>
      </c>
      <c r="P273" s="156">
        <f t="shared" ca="1" si="85"/>
        <v>88.621287128712865</v>
      </c>
    </row>
    <row r="274" spans="1:16" ht="21.75" customHeight="1" x14ac:dyDescent="0.45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IFERROR(__xludf.DUMMYFUNCTION("IMPORTRANGE(""https://docs.google.com/spreadsheets/d/1Yj_ptqi66GCucihVvJfMjLAmec39IyEx_6qawtMGysU/edit?usp=sharing"",""สบก!CK36"")"),161600)</f>
        <v>161600</v>
      </c>
      <c r="N275" s="168">
        <f ca="1">IFERROR(__xludf.DUMMYFUNCTION("IMPORTRANGE(""https://docs.google.com/spreadsheets/d/1Yj_ptqi66GCucihVvJfMjLAmec39IyEx_6qawtMGysU/edit?usp=sharing"",""สบก!CL36"")"),143212)</f>
        <v>143212</v>
      </c>
      <c r="O275" s="168">
        <f ca="1">IF(L275&gt;0,N275*100/L275,0)</f>
        <v>78.002178649237479</v>
      </c>
      <c r="P275" s="168">
        <f ca="1">IF(M275&gt;0,N275*100/M275,0)</f>
        <v>88.621287128712865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IFERROR(__xludf.DUMMYFUNCTION("IMPORTRANGE(""https://docs.google.com/spreadsheets/d/1Yj_ptqi66GCucihVvJfMjLAmec39IyEx_6qawtMGysU/edit?usp=sharing"",""สบก!CG36"")"),0)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IFERROR(__xludf.DUMMYFUNCTION("IMPORTRANGE(""https://docs.google.com/spreadsheets/d/1Yj_ptqi66GCucihVvJfMjLAmec39IyEx_6qawtMGysU/edit?usp=sharing"",""สบก!CH36"")"),183600)</f>
        <v>183600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IFERROR(__xludf.DUMMYFUNCTION("IMPORTRANGE(""https://docs.google.com/spreadsheets/d/1Yj_ptqi66GCucihVvJfMjLAmec39IyEx_6qawtMGysU/edit?usp=sharing"",""สบก!CI36"")"),0)</f>
        <v>0</v>
      </c>
      <c r="M279" s="50"/>
      <c r="N279" s="50">
        <f ca="1">IFERROR(__xludf.DUMMYFUNCTION("IMPORTRANGE(""https://docs.google.com/spreadsheets/d/1Yj_ptqi66GCucihVvJfMjLAmec39IyEx_6qawtMGysU/edit?usp=sharing"",""สบก!CM36"")"),0)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IFERROR(__xludf.DUMMYFUNCTION("IMPORTRANGE(""https://docs.google.com/spreadsheets/d/11923uPwbBZFjjGgGUA6NLw09EwE0CqkOc4q9oUmW1yo/edit?usp=sharing"",""อุทัยธานี!J191"")"),0)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IFERROR(__xludf.DUMMYFUNCTION("IMPORTRANGE(""https://docs.google.com/spreadsheets/d/11923uPwbBZFjjGgGUA6NLw09EwE0CqkOc4q9oUmW1yo/edit?usp=sharing"",""อุทัยธานี!J192"")"),1)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IFERROR(__xludf.DUMMYFUNCTION("IMPORTRANGE(""https://docs.google.com/spreadsheets/d/11923uPwbBZFjjGgGUA6NLw09EwE0CqkOc4q9oUmW1yo/edit?usp=sharing"",""อุทัยธานี!J193"")"),1)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IFERROR(__xludf.DUMMYFUNCTION("IMPORTRANGE(""https://docs.google.com/spreadsheets/d/11923uPwbBZFjjGgGUA6NLw09EwE0CqkOc4q9oUmW1yo/edit?usp=sharing"",""อุทัยธานี!J194"")"),1)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IFERROR(__xludf.DUMMYFUNCTION("IMPORTRANGE(""https://docs.google.com/spreadsheets/d/11923uPwbBZFjjGgGUA6NLw09EwE0CqkOc4q9oUmW1yo/edit?usp=sharing"",""อุทัยธานี!I195"")"),20)</f>
        <v>20</v>
      </c>
      <c r="J285" s="188">
        <f ca="1">IFERROR(__xludf.DUMMYFUNCTION("IMPORTRANGE(""https://docs.google.com/spreadsheets/d/11923uPwbBZFjjGgGUA6NLw09EwE0CqkOc4q9oUmW1yo/edit?usp=sharing"",""อุทัยธานี!J195"")"),20)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IFERROR(__xludf.DUMMYFUNCTION("IMPORTRANGE(""https://docs.google.com/spreadsheets/d/11923uPwbBZFjjGgGUA6NLw09EwE0CqkOc4q9oUmW1yo/edit?usp=sharing"",""อุทัยธานี!J196"")"),0)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IFERROR(__xludf.DUMMYFUNCTION("IMPORTRANGE(""https://docs.google.com/spreadsheets/d/11923uPwbBZFjjGgGUA6NLw09EwE0CqkOc4q9oUmW1yo/edit?usp=sharing"",""อุทัยธานี!J197"")"),0)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IFERROR(__xludf.DUMMYFUNCTION("IMPORTRANGE(""https://docs.google.com/spreadsheets/d/11923uPwbBZFjjGgGUA6NLw09EwE0CqkOc4q9oUmW1yo/edit?usp=sharing"",""อุทัยธานี!I199"")"),40)</f>
        <v>40</v>
      </c>
      <c r="J289" s="316">
        <f ca="1">IFERROR(__xludf.DUMMYFUNCTION("IMPORTRANGE(""https://docs.google.com/spreadsheets/d/11923uPwbBZFjjGgGUA6NLw09EwE0CqkOc4q9oUmW1yo/edit?usp=sharing"",""อุทัยธานี!J199"")"),40)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4"/>
      <c r="L290" s="152">
        <f t="shared" ref="L290:N290" ca="1" si="88">L291+L292</f>
        <v>120760</v>
      </c>
      <c r="M290" s="152">
        <f t="shared" ca="1" si="88"/>
        <v>120760</v>
      </c>
      <c r="N290" s="152">
        <f t="shared" ca="1" si="88"/>
        <v>50045</v>
      </c>
      <c r="O290" s="151">
        <f t="shared" ref="O290:O292" ca="1" si="89">IF(L290&gt;0,N290*100/L290,0)</f>
        <v>41.441702550513412</v>
      </c>
      <c r="P290" s="151">
        <f t="shared" ref="P290:P292" ca="1" si="90">IF(M290&gt;0,N290*100/M290,0)</f>
        <v>41.441702550513412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120760</v>
      </c>
      <c r="M292" s="88">
        <f t="shared" ca="1" si="92"/>
        <v>120760</v>
      </c>
      <c r="N292" s="88">
        <f t="shared" ca="1" si="92"/>
        <v>50045</v>
      </c>
      <c r="O292" s="156">
        <f t="shared" ca="1" si="89"/>
        <v>41.441702550513412</v>
      </c>
      <c r="P292" s="156">
        <f t="shared" ca="1" si="90"/>
        <v>41.441702550513412</v>
      </c>
    </row>
    <row r="293" spans="1:16" ht="21.75" customHeight="1" x14ac:dyDescent="0.45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120760</v>
      </c>
      <c r="M294" s="167">
        <f ca="1">IFERROR(__xludf.DUMMYFUNCTION("IMPORTRANGE(""https://docs.google.com/spreadsheets/d/1Yj_ptqi66GCucihVvJfMjLAmec39IyEx_6qawtMGysU/edit?usp=sharing"",""สบก!CT36"")"),120760)</f>
        <v>120760</v>
      </c>
      <c r="N294" s="168">
        <f ca="1">IFERROR(__xludf.DUMMYFUNCTION("IMPORTRANGE(""https://docs.google.com/spreadsheets/d/1Yj_ptqi66GCucihVvJfMjLAmec39IyEx_6qawtMGysU/edit?usp=sharing"",""สบก!CU36"")"),50045)</f>
        <v>50045</v>
      </c>
      <c r="O294" s="168">
        <f ca="1">IF(L294&gt;0,N294*100/L294,0)</f>
        <v>41.441702550513412</v>
      </c>
      <c r="P294" s="168">
        <f ca="1">IF(M294&gt;0,N294*100/M294,0)</f>
        <v>41.441702550513412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IFERROR(__xludf.DUMMYFUNCTION("IMPORTRANGE(""https://docs.google.com/spreadsheets/d/1Yj_ptqi66GCucihVvJfMjLAmec39IyEx_6qawtMGysU/edit?usp=sharing"",""สบก!CP36"")"),0)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IFERROR(__xludf.DUMMYFUNCTION("IMPORTRANGE(""https://docs.google.com/spreadsheets/d/1Yj_ptqi66GCucihVvJfMjLAmec39IyEx_6qawtMGysU/edit?usp=sharing"",""สบก!CQ36"")"),120760)</f>
        <v>120760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IFERROR(__xludf.DUMMYFUNCTION("IMPORTRANGE(""https://docs.google.com/spreadsheets/d/1Yj_ptqi66GCucihVvJfMjLAmec39IyEx_6qawtMGysU/edit?usp=sharing"",""สบก!CR36"")"),0)</f>
        <v>0</v>
      </c>
      <c r="M298" s="50"/>
      <c r="N298" s="50">
        <f ca="1">IFERROR(__xludf.DUMMYFUNCTION("IMPORTRANGE(""https://docs.google.com/spreadsheets/d/1Yj_ptqi66GCucihVvJfMjLAmec39IyEx_6qawtMGysU/edit?usp=sharing"",""สบก!CV36"")"),0)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IFERROR(__xludf.DUMMYFUNCTION("IMPORTRANGE(""https://docs.google.com/spreadsheets/d/11923uPwbBZFjjGgGUA6NLw09EwE0CqkOc4q9oUmW1yo/edit?usp=sharing"",""อุทัยธานี!J205"")"),0)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IFERROR(__xludf.DUMMYFUNCTION("IMPORTRANGE(""https://docs.google.com/spreadsheets/d/11923uPwbBZFjjGgGUA6NLw09EwE0CqkOc4q9oUmW1yo/edit?usp=sharing"",""อุทัยธานี!J206"")"),1)</f>
        <v>1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IFERROR(__xludf.DUMMYFUNCTION("IMPORTRANGE(""https://docs.google.com/spreadsheets/d/11923uPwbBZFjjGgGUA6NLw09EwE0CqkOc4q9oUmW1yo/edit?usp=sharing"",""อุทัยธานี!J207"")"),1)</f>
        <v>1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IFERROR(__xludf.DUMMYFUNCTION("IMPORTRANGE(""https://docs.google.com/spreadsheets/d/11923uPwbBZFjjGgGUA6NLw09EwE0CqkOc4q9oUmW1yo/edit?usp=sharing"",""อุทัยธานี!J208"")"),1)</f>
        <v>1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IFERROR(__xludf.DUMMYFUNCTION("IMPORTRANGE(""https://docs.google.com/spreadsheets/d/11923uPwbBZFjjGgGUA6NLw09EwE0CqkOc4q9oUmW1yo/edit?usp=sharing"",""อุทัยธานี!I209"")"),40)</f>
        <v>40</v>
      </c>
      <c r="J304" s="203">
        <f ca="1">IFERROR(__xludf.DUMMYFUNCTION("IMPORTRANGE(""https://docs.google.com/spreadsheets/d/11923uPwbBZFjjGgGUA6NLw09EwE0CqkOc4q9oUmW1yo/edit?usp=sharing"",""อุทัยธานี!J209"")"),40)</f>
        <v>40</v>
      </c>
      <c r="K304" s="224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IFERROR(__xludf.DUMMYFUNCTION("IMPORTRANGE(""https://docs.google.com/spreadsheets/d/11923uPwbBZFjjGgGUA6NLw09EwE0CqkOc4q9oUmW1yo/edit?usp=sharing"",""อุทัยธานี!I211"")"),40)</f>
        <v>40</v>
      </c>
      <c r="J306" s="203">
        <f ca="1">IFERROR(__xludf.DUMMYFUNCTION("IMPORTRANGE(""https://docs.google.com/spreadsheets/d/11923uPwbBZFjjGgGUA6NLw09EwE0CqkOc4q9oUmW1yo/edit?usp=sharing"",""อุทัยธานี!J211"")"),0)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IFERROR(__xludf.DUMMYFUNCTION("IMPORTRANGE(""https://docs.google.com/spreadsheets/d/11923uPwbBZFjjGgGUA6NLw09EwE0CqkOc4q9oUmW1yo/edit?usp=sharing"",""อุทัยธานี!J212"")"),0)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IFERROR(__xludf.DUMMYFUNCTION("IMPORTRANGE(""https://docs.google.com/spreadsheets/d/11923uPwbBZFjjGgGUA6NLw09EwE0CqkOc4q9oUmW1yo/edit?usp=sharing"",""อุทัยธานี!J213"")"),0)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IFERROR(__xludf.DUMMYFUNCTION("IMPORTRANGE(""https://docs.google.com/spreadsheets/d/11923uPwbBZFjjGgGUA6NLw09EwE0CqkOc4q9oUmW1yo/edit?usp=sharing"",""อุทัยธานี!I214"")"),1)</f>
        <v>1</v>
      </c>
      <c r="J309" s="333">
        <f ca="1">IFERROR(__xludf.DUMMYFUNCTION("IMPORTRANGE(""https://docs.google.com/spreadsheets/d/11923uPwbBZFjjGgGUA6NLw09EwE0CqkOc4q9oUmW1yo/edit?usp=sharing"",""อุทัยธานี!J214"")"),1)</f>
        <v>1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6"/>
      <c r="J310" s="336"/>
      <c r="K310" s="337"/>
      <c r="L310" s="152">
        <f t="shared" ref="L310:N310" ca="1" si="93">L311+L312</f>
        <v>262600</v>
      </c>
      <c r="M310" s="152">
        <f t="shared" ca="1" si="93"/>
        <v>384500</v>
      </c>
      <c r="N310" s="152">
        <f t="shared" ca="1" si="93"/>
        <v>313745</v>
      </c>
      <c r="O310" s="151">
        <f t="shared" ref="O310:O312" ca="1" si="94">IF(L310&gt;0,N310*100/L310,0)</f>
        <v>119.47638994668698</v>
      </c>
      <c r="P310" s="151">
        <f t="shared" ref="P310:P312" ca="1" si="95">IF(M310&gt;0,N310*100/M310,0)</f>
        <v>81.598179453836153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262600</v>
      </c>
      <c r="M312" s="88">
        <f t="shared" ca="1" si="97"/>
        <v>384500</v>
      </c>
      <c r="N312" s="88">
        <f t="shared" ca="1" si="97"/>
        <v>313745</v>
      </c>
      <c r="O312" s="156">
        <f t="shared" ca="1" si="94"/>
        <v>119.47638994668698</v>
      </c>
      <c r="P312" s="156">
        <f t="shared" ca="1" si="95"/>
        <v>81.598179453836153</v>
      </c>
    </row>
    <row r="313" spans="1:16" ht="21.75" customHeight="1" x14ac:dyDescent="0.45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262600</v>
      </c>
      <c r="M314" s="167">
        <f ca="1">IFERROR(__xludf.DUMMYFUNCTION("IMPORTRANGE(""https://docs.google.com/spreadsheets/d/1Yj_ptqi66GCucihVvJfMjLAmec39IyEx_6qawtMGysU/edit?usp=sharing"",""สบก!DC36"")"),384500)</f>
        <v>384500</v>
      </c>
      <c r="N314" s="168">
        <f ca="1">IFERROR(__xludf.DUMMYFUNCTION("IMPORTRANGE(""https://docs.google.com/spreadsheets/d/1Yj_ptqi66GCucihVvJfMjLAmec39IyEx_6qawtMGysU/edit?usp=sharing"",""สบก!DD36"")"),313745)</f>
        <v>313745</v>
      </c>
      <c r="O314" s="168">
        <f ca="1">IF(L314&gt;0,N314*100/L314,0)</f>
        <v>119.47638994668698</v>
      </c>
      <c r="P314" s="168">
        <f ca="1">IF(M314&gt;0,N314*100/M314,0)</f>
        <v>81.598179453836153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IFERROR(__xludf.DUMMYFUNCTION("IMPORTRANGE(""https://docs.google.com/spreadsheets/d/1Yj_ptqi66GCucihVvJfMjLAmec39IyEx_6qawtMGysU/edit?usp=sharing"",""สบก!CY36"")"),0)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IFERROR(__xludf.DUMMYFUNCTION("IMPORTRANGE(""https://docs.google.com/spreadsheets/d/1Yj_ptqi66GCucihVvJfMjLAmec39IyEx_6qawtMGysU/edit?usp=sharing"",""สบก!CZ36"")"),262600)</f>
        <v>262600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IFERROR(__xludf.DUMMYFUNCTION("IMPORTRANGE(""https://docs.google.com/spreadsheets/d/1Yj_ptqi66GCucihVvJfMjLAmec39IyEx_6qawtMGysU/edit?usp=sharing"",""สบก!DA36"")"),0)</f>
        <v>0</v>
      </c>
      <c r="M318" s="50"/>
      <c r="N318" s="50">
        <f ca="1">IFERROR(__xludf.DUMMYFUNCTION("IMPORTRANGE(""https://docs.google.com/spreadsheets/d/1Yj_ptqi66GCucihVvJfMjLAmec39IyEx_6qawtMGysU/edit?usp=sharing"",""สบก!DE36"")"),0)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IFERROR(__xludf.DUMMYFUNCTION("IMPORTRANGE(""https://docs.google.com/spreadsheets/d/11923uPwbBZFjjGgGUA6NLw09EwE0CqkOc4q9oUmW1yo/edit?usp=sharing"",""อุทัยธานี!J220"")"),0)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IFERROR(__xludf.DUMMYFUNCTION("IMPORTRANGE(""https://docs.google.com/spreadsheets/d/11923uPwbBZFjjGgGUA6NLw09EwE0CqkOc4q9oUmW1yo/edit?usp=sharing"",""อุทัยธานี!J221"")"),1)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IFERROR(__xludf.DUMMYFUNCTION("IMPORTRANGE(""https://docs.google.com/spreadsheets/d/11923uPwbBZFjjGgGUA6NLw09EwE0CqkOc4q9oUmW1yo/edit?usp=sharing"",""อุทัยธานี!J222"")"),1)</f>
        <v>1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IFERROR(__xludf.DUMMYFUNCTION("IMPORTRANGE(""https://docs.google.com/spreadsheets/d/11923uPwbBZFjjGgGUA6NLw09EwE0CqkOc4q9oUmW1yo/edit?usp=sharing"",""อุทัยธานี!J223"")"),1)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IFERROR(__xludf.DUMMYFUNCTION("IMPORTRANGE(""https://docs.google.com/spreadsheets/d/11923uPwbBZFjjGgGUA6NLw09EwE0CqkOc4q9oUmW1yo/edit?usp=sharing"",""อุทัยธานี!I224"")"),1)</f>
        <v>1</v>
      </c>
      <c r="J324" s="203">
        <f ca="1">IFERROR(__xludf.DUMMYFUNCTION("IMPORTRANGE(""https://docs.google.com/spreadsheets/d/11923uPwbBZFjjGgGUA6NLw09EwE0CqkOc4q9oUmW1yo/edit?usp=sharing"",""อุทัยธานี!J224"")"),1)</f>
        <v>1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IFERROR(__xludf.DUMMYFUNCTION("IMPORTRANGE(""https://docs.google.com/spreadsheets/d/11923uPwbBZFjjGgGUA6NLw09EwE0CqkOc4q9oUmW1yo/edit?usp=sharing"",""อุทัยธานี!J225"")"),0)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IFERROR(__xludf.DUMMYFUNCTION("IMPORTRANGE(""https://docs.google.com/spreadsheets/d/11923uPwbBZFjjGgGUA6NLw09EwE0CqkOc4q9oUmW1yo/edit?usp=sharing"",""อุทัยธานี!J226"")"),0)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IFERROR(__xludf.DUMMYFUNCTION("IMPORTRANGE(""https://docs.google.com/spreadsheets/d/11923uPwbBZFjjGgGUA6NLw09EwE0CqkOc4q9oUmW1yo/edit?usp=sharing"",""อุทัยธานี!I228"")"),215)</f>
        <v>215</v>
      </c>
      <c r="J328" s="339">
        <f ca="1">IFERROR(__xludf.DUMMYFUNCTION("IMPORTRANGE(""https://docs.google.com/spreadsheets/d/11923uPwbBZFjjGgGUA6NLw09EwE0CqkOc4q9oUmW1yo/edit?usp=sharing"",""อุทัยธานี!J228"")"),99)</f>
        <v>99</v>
      </c>
      <c r="K328" s="317">
        <f ca="1">IF(I328&gt;0,J328*100/I328,0)</f>
        <v>46.046511627906973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1055670</v>
      </c>
      <c r="M329" s="152">
        <f t="shared" ca="1" si="98"/>
        <v>841710</v>
      </c>
      <c r="N329" s="152">
        <f t="shared" ca="1" si="98"/>
        <v>752161</v>
      </c>
      <c r="O329" s="151">
        <f t="shared" ref="O329:O331" ca="1" si="99">IF(L329&gt;0,N329*100/L329,0)</f>
        <v>71.249632934534461</v>
      </c>
      <c r="P329" s="151">
        <f t="shared" ref="P329:P331" ca="1" si="100">IF(M329&gt;0,N329*100/M329,0)</f>
        <v>89.361062598757286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1055670</v>
      </c>
      <c r="M331" s="88">
        <f t="shared" ca="1" si="102"/>
        <v>841710</v>
      </c>
      <c r="N331" s="88">
        <f t="shared" ca="1" si="102"/>
        <v>752161</v>
      </c>
      <c r="O331" s="156">
        <f t="shared" ca="1" si="99"/>
        <v>71.249632934534461</v>
      </c>
      <c r="P331" s="156">
        <f t="shared" ca="1" si="100"/>
        <v>89.361062598757286</v>
      </c>
    </row>
    <row r="332" spans="1:16" ht="21.75" customHeight="1" x14ac:dyDescent="0.45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910670</v>
      </c>
      <c r="M333" s="167">
        <f ca="1">IFERROR(__xludf.DUMMYFUNCTION("IMPORTRANGE(""https://docs.google.com/spreadsheets/d/1Yj_ptqi66GCucihVvJfMjLAmec39IyEx_6qawtMGysU/edit?usp=sharing"",""สบก!DL36"")"),696710)</f>
        <v>696710</v>
      </c>
      <c r="N333" s="168">
        <f ca="1">IFERROR(__xludf.DUMMYFUNCTION("IMPORTRANGE(""https://docs.google.com/spreadsheets/d/1Yj_ptqi66GCucihVvJfMjLAmec39IyEx_6qawtMGysU/edit?usp=sharing"",""สบก!DM36"")"),607161)</f>
        <v>607161</v>
      </c>
      <c r="O333" s="168">
        <f ca="1">IF(L333&gt;0,N333*100/L333,0)</f>
        <v>66.671900908122595</v>
      </c>
      <c r="P333" s="168">
        <f ca="1">IF(M333&gt;0,N333*100/M333,0)</f>
        <v>87.146876031634392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IFERROR(__xludf.DUMMYFUNCTION("IMPORTRANGE(""https://docs.google.com/spreadsheets/d/1Yj_ptqi66GCucihVvJfMjLAmec39IyEx_6qawtMGysU/edit?usp=sharing"",""สบก!DH36"")"),500400)</f>
        <v>500400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IFERROR(__xludf.DUMMYFUNCTION("IMPORTRANGE(""https://docs.google.com/spreadsheets/d/1Yj_ptqi66GCucihVvJfMjLAmec39IyEx_6qawtMGysU/edit?usp=sharing"",""สบก!DI36"")"),410270)</f>
        <v>410270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IFERROR(__xludf.DUMMYFUNCTION("IMPORTRANGE(""https://docs.google.com/spreadsheets/d/1Yj_ptqi66GCucihVvJfMjLAmec39IyEx_6qawtMGysU/edit?usp=sharing"",""สบก!DJ36"")"),145000)</f>
        <v>145000</v>
      </c>
      <c r="M337" s="50">
        <f ca="1">L337</f>
        <v>145000</v>
      </c>
      <c r="N337" s="50">
        <f ca="1">IFERROR(__xludf.DUMMYFUNCTION("IMPORTRANGE(""https://docs.google.com/spreadsheets/d/1Yj_ptqi66GCucihVvJfMjLAmec39IyEx_6qawtMGysU/edit?usp=sharing"",""สบก!DN36"")"),145000)</f>
        <v>145000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IFERROR(__xludf.DUMMYFUNCTION("IMPORTRANGE(""https://docs.google.com/spreadsheets/d/11923uPwbBZFjjGgGUA6NLw09EwE0CqkOc4q9oUmW1yo/edit?usp=sharing"",""อุทัยธานี!I234"")"),0)</f>
        <v>0</v>
      </c>
      <c r="J339" s="187">
        <f ca="1">IFERROR(__xludf.DUMMYFUNCTION("IMPORTRANGE(""https://docs.google.com/spreadsheets/d/11923uPwbBZFjjGgGUA6NLw09EwE0CqkOc4q9oUmW1yo/edit?usp=sharing"",""อุทัยธานี!J234"")"),136)</f>
        <v>136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IFERROR(__xludf.DUMMYFUNCTION("IMPORTRANGE(""https://docs.google.com/spreadsheets/d/11923uPwbBZFjjGgGUA6NLw09EwE0CqkOc4q9oUmW1yo/edit?usp=sharing"",""อุทัยธานี!I235"")"),2000)</f>
        <v>2000</v>
      </c>
      <c r="J340" s="187">
        <f ca="1">IFERROR(__xludf.DUMMYFUNCTION("IMPORTRANGE(""https://docs.google.com/spreadsheets/d/11923uPwbBZFjjGgGUA6NLw09EwE0CqkOc4q9oUmW1yo/edit?usp=sharing"",""อุทัยธานี!J235"")"),1398.37)</f>
        <v>1398.37</v>
      </c>
      <c r="K340" s="342">
        <f t="shared" ca="1" si="103"/>
        <v>69.918499999999995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IFERROR(__xludf.DUMMYFUNCTION("IMPORTRANGE(""https://docs.google.com/spreadsheets/d/11923uPwbBZFjjGgGUA6NLw09EwE0CqkOc4q9oUmW1yo/edit?usp=sharing"",""อุทัยธานี!I236"")"),215)</f>
        <v>215</v>
      </c>
      <c r="J341" s="187">
        <f ca="1">IFERROR(__xludf.DUMMYFUNCTION("IMPORTRANGE(""https://docs.google.com/spreadsheets/d/11923uPwbBZFjjGgGUA6NLw09EwE0CqkOc4q9oUmW1yo/edit?usp=sharing"",""อุทัยธานี!J236"")"),172)</f>
        <v>172</v>
      </c>
      <c r="K341" s="342">
        <f t="shared" ca="1" si="103"/>
        <v>80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IFERROR(__xludf.DUMMYFUNCTION("IMPORTRANGE(""https://docs.google.com/spreadsheets/d/11923uPwbBZFjjGgGUA6NLw09EwE0CqkOc4q9oUmW1yo/edit?usp=sharing"",""อุทัยธานี!I237"")"),0)</f>
        <v>0</v>
      </c>
      <c r="J342" s="187">
        <f ca="1">IFERROR(__xludf.DUMMYFUNCTION("IMPORTRANGE(""https://docs.google.com/spreadsheets/d/11923uPwbBZFjjGgGUA6NLw09EwE0CqkOc4q9oUmW1yo/edit?usp=sharing"",""อุทัยธานี!J237"")"),2342.16)</f>
        <v>2342.16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IFERROR(__xludf.DUMMYFUNCTION("IMPORTRANGE(""https://docs.google.com/spreadsheets/d/11923uPwbBZFjjGgGUA6NLw09EwE0CqkOc4q9oUmW1yo/edit?usp=sharing"",""อุทัยธานี!I238"")"),215)</f>
        <v>215</v>
      </c>
      <c r="J343" s="187">
        <f ca="1">IFERROR(__xludf.DUMMYFUNCTION("IMPORTRANGE(""https://docs.google.com/spreadsheets/d/11923uPwbBZFjjGgGUA6NLw09EwE0CqkOc4q9oUmW1yo/edit?usp=sharing"",""อุทัยธานี!J238"")"),29)</f>
        <v>29</v>
      </c>
      <c r="K343" s="342">
        <f t="shared" ca="1" si="103"/>
        <v>13.488372093023257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IFERROR(__xludf.DUMMYFUNCTION("IMPORTRANGE(""https://docs.google.com/spreadsheets/d/11923uPwbBZFjjGgGUA6NLw09EwE0CqkOc4q9oUmW1yo/edit?usp=sharing"",""อุทัยธานี!I239"")"),0)</f>
        <v>0</v>
      </c>
      <c r="J344" s="187">
        <f ca="1">IFERROR(__xludf.DUMMYFUNCTION("IMPORTRANGE(""https://docs.google.com/spreadsheets/d/11923uPwbBZFjjGgGUA6NLw09EwE0CqkOc4q9oUmW1yo/edit?usp=sharing"",""อุทัยธานี!J239"")"),264.31)</f>
        <v>264.31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IFERROR(__xludf.DUMMYFUNCTION("IMPORTRANGE(""https://docs.google.com/spreadsheets/d/11923uPwbBZFjjGgGUA6NLw09EwE0CqkOc4q9oUmW1yo/edit?usp=sharing"",""อุทัยธานี!I240"")"),215)</f>
        <v>215</v>
      </c>
      <c r="J345" s="187">
        <f ca="1">IFERROR(__xludf.DUMMYFUNCTION("IMPORTRANGE(""https://docs.google.com/spreadsheets/d/11923uPwbBZFjjGgGUA6NLw09EwE0CqkOc4q9oUmW1yo/edit?usp=sharing"",""อุทัยธานี!J240"")"),99)</f>
        <v>99</v>
      </c>
      <c r="K345" s="342">
        <f t="shared" ca="1" si="103"/>
        <v>46.046511627906973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IFERROR(__xludf.DUMMYFUNCTION("IMPORTRANGE(""https://docs.google.com/spreadsheets/d/11923uPwbBZFjjGgGUA6NLw09EwE0CqkOc4q9oUmW1yo/edit?usp=sharing"",""อุทัยธานี!I241"")"),0)</f>
        <v>0</v>
      </c>
      <c r="J346" s="187">
        <f ca="1">IFERROR(__xludf.DUMMYFUNCTION("IMPORTRANGE(""https://docs.google.com/spreadsheets/d/11923uPwbBZFjjGgGUA6NLw09EwE0CqkOc4q9oUmW1yo/edit?usp=sharing"",""อุทัยธานี!J241"")"),1626.66999999999)</f>
        <v>1626.6699999999901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IFERROR(__xludf.DUMMYFUNCTION("IMPORTRANGE(""https://docs.google.com/spreadsheets/d/11923uPwbBZFjjGgGUA6NLw09EwE0CqkOc4q9oUmW1yo/edit?usp=sharing"",""อุทัยธานี!L242"")"),2211395)</f>
        <v>2211395</v>
      </c>
      <c r="M347" s="357"/>
      <c r="N347" s="357">
        <f ca="1">IFERROR(__xludf.DUMMYFUNCTION("IMPORTRANGE(""https://docs.google.com/spreadsheets/d/11923uPwbBZFjjGgGUA6NLw09EwE0CqkOc4q9oUmW1yo/edit?usp=sharing"",""อุทัยธานี!M242"")"),716726.23)</f>
        <v>716726.23</v>
      </c>
      <c r="O347" s="357">
        <f ca="1">+IF(L347&gt;0,N347*100/L347,0)</f>
        <v>32.410592861067336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IFERROR(__xludf.DUMMYFUNCTION("IMPORTRANGE(""https://docs.google.com/spreadsheets/d/11923uPwbBZFjjGgGUA6NLw09EwE0CqkOc4q9oUmW1yo/edit?usp=sharing"",""อุทัยธานี!I244"")"),70)</f>
        <v>70</v>
      </c>
      <c r="J349" s="370">
        <f ca="1">IFERROR(__xludf.DUMMYFUNCTION("IMPORTRANGE(""https://docs.google.com/spreadsheets/d/11923uPwbBZFjjGgGUA6NLw09EwE0CqkOc4q9oUmW1yo/edit?usp=sharing"",""อุทัยธานี!J244"")"),20)</f>
        <v>20</v>
      </c>
      <c r="K349" s="371">
        <f t="shared" ref="K349:K350" ca="1" si="104">IF(I349&gt;0,J349*100/I349,0)</f>
        <v>28.571428571428573</v>
      </c>
      <c r="L349" s="372">
        <f ca="1">IFERROR(__xludf.DUMMYFUNCTION("IMPORTRANGE(""https://docs.google.com/spreadsheets/d/11923uPwbBZFjjGgGUA6NLw09EwE0CqkOc4q9oUmW1yo/edit?usp=sharing"",""อุทัยธานี!L244"")"),303160)</f>
        <v>303160</v>
      </c>
      <c r="M349" s="372"/>
      <c r="N349" s="372">
        <f ca="1">IFERROR(__xludf.DUMMYFUNCTION("IMPORTRANGE(""https://docs.google.com/spreadsheets/d/11923uPwbBZFjjGgGUA6NLw09EwE0CqkOc4q9oUmW1yo/edit?usp=sharing"",""อุทัยธานี!M244"")"),155842.9)</f>
        <v>155842.9</v>
      </c>
      <c r="O349" s="372">
        <f ca="1">+IF(L349&gt;0,N349*100/L349,0)</f>
        <v>51.406155165589126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IFERROR(__xludf.DUMMYFUNCTION("IMPORTRANGE(""https://docs.google.com/spreadsheets/d/11923uPwbBZFjjGgGUA6NLw09EwE0CqkOc4q9oUmW1yo/edit?usp=sharing"",""อุทัยธานี!I245"")"),40)</f>
        <v>40</v>
      </c>
      <c r="J350" s="370">
        <f ca="1">IFERROR(__xludf.DUMMYFUNCTION("IMPORTRANGE(""https://docs.google.com/spreadsheets/d/11923uPwbBZFjjGgGUA6NLw09EwE0CqkOc4q9oUmW1yo/edit?usp=sharing"",""อุทัยธานี!J245"")"),40)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IFERROR(__xludf.DUMMYFUNCTION("IMPORTRANGE(""https://docs.google.com/spreadsheets/d/11923uPwbBZFjjGgGUA6NLw09EwE0CqkOc4q9oUmW1yo/edit?usp=sharing"",""อุทัยธานี!L246"")"),0)</f>
        <v>0</v>
      </c>
      <c r="M351" s="164"/>
      <c r="N351" s="164">
        <f ca="1">IFERROR(__xludf.DUMMYFUNCTION("IMPORTRANGE(""https://docs.google.com/spreadsheets/d/11923uPwbBZFjjGgGUA6NLw09EwE0CqkOc4q9oUmW1yo/edit?usp=sharing"",""อุทัยธานี!M246"")"),0)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IFERROR(__xludf.DUMMYFUNCTION("IMPORTRANGE(""https://docs.google.com/spreadsheets/d/11923uPwbBZFjjGgGUA6NLw09EwE0CqkOc4q9oUmW1yo/edit?usp=sharing"",""อุทัยธานี!L247"")"),303160)</f>
        <v>303160</v>
      </c>
      <c r="M352" s="165"/>
      <c r="N352" s="164">
        <f ca="1">IFERROR(__xludf.DUMMYFUNCTION("IMPORTRANGE(""https://docs.google.com/spreadsheets/d/11923uPwbBZFjjGgGUA6NLw09EwE0CqkOc4q9oUmW1yo/edit?usp=sharing"",""อุทัยธานี!M247"")"),155842.9)</f>
        <v>155842.9</v>
      </c>
      <c r="O352" s="165">
        <f t="shared" ca="1" si="105"/>
        <v>51.406155165589126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IFERROR(__xludf.DUMMYFUNCTION("IMPORTRANGE(""https://docs.google.com/spreadsheets/d/11923uPwbBZFjjGgGUA6NLw09EwE0CqkOc4q9oUmW1yo/edit?usp=sharing"",""อุทัยธานี!L248"")"),0)</f>
        <v>0</v>
      </c>
      <c r="M353" s="168"/>
      <c r="N353" s="168">
        <f ca="1">IFERROR(__xludf.DUMMYFUNCTION("IMPORTRANGE(""https://docs.google.com/spreadsheets/d/11923uPwbBZFjjGgGUA6NLw09EwE0CqkOc4q9oUmW1yo/edit?usp=sharing"",""อุทัยธานี!M248"")"),0)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IFERROR(__xludf.DUMMYFUNCTION("IMPORTRANGE(""https://docs.google.com/spreadsheets/d/11923uPwbBZFjjGgGUA6NLw09EwE0CqkOc4q9oUmW1yo/edit?usp=sharing"",""อุทัยธานี!L249"")"),303160)</f>
        <v>303160</v>
      </c>
      <c r="M354" s="168"/>
      <c r="N354" s="167">
        <f ca="1">IFERROR(__xludf.DUMMYFUNCTION("IMPORTRANGE(""https://docs.google.com/spreadsheets/d/11923uPwbBZFjjGgGUA6NLw09EwE0CqkOc4q9oUmW1yo/edit?usp=sharing"",""อุทัยธานี!M249"")"),155842.9)</f>
        <v>155842.9</v>
      </c>
      <c r="O354" s="168">
        <f t="shared" ca="1" si="105"/>
        <v>51.406155165589126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IFERROR(__xludf.DUMMYFUNCTION("IMPORTRANGE(""https://docs.google.com/spreadsheets/d/11923uPwbBZFjjGgGUA6NLw09EwE0CqkOc4q9oUmW1yo/edit?usp=sharing"",""อุทัยธานี!M250"")"),50400)</f>
        <v>50400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IFERROR(__xludf.DUMMYFUNCTION("IMPORTRANGE(""https://docs.google.com/spreadsheets/d/11923uPwbBZFjjGgGUA6NLw09EwE0CqkOc4q9oUmW1yo/edit?usp=sharing"",""อุทัยธานี!M251"")"),0)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IFERROR(__xludf.DUMMYFUNCTION("IMPORTRANGE(""https://docs.google.com/spreadsheets/d/11923uPwbBZFjjGgGUA6NLw09EwE0CqkOc4q9oUmW1yo/edit?usp=sharing"",""อุทัยธานี!M252"")"),81013)</f>
        <v>81013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IFERROR(__xludf.DUMMYFUNCTION("IMPORTRANGE(""https://docs.google.com/spreadsheets/d/11923uPwbBZFjjGgGUA6NLw09EwE0CqkOc4q9oUmW1yo/edit?usp=sharing"",""อุทัยธานี!M253"")"),24429.9)</f>
        <v>24429.9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IFERROR(__xludf.DUMMYFUNCTION("IMPORTRANGE(""https://docs.google.com/spreadsheets/d/11923uPwbBZFjjGgGUA6NLw09EwE0CqkOc4q9oUmW1yo/edit?usp=sharing"",""อุทัยธานี!J255"")"),0)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IFERROR(__xludf.DUMMYFUNCTION("IMPORTRANGE(""https://docs.google.com/spreadsheets/d/11923uPwbBZFjjGgGUA6NLw09EwE0CqkOc4q9oUmW1yo/edit?usp=sharing"",""อุทัยธานี!J256"")"),1)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IFERROR(__xludf.DUMMYFUNCTION("IMPORTRANGE(""https://docs.google.com/spreadsheets/d/11923uPwbBZFjjGgGUA6NLw09EwE0CqkOc4q9oUmW1yo/edit?usp=sharing"",""อุทัยธานี!J257"")"),1)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IFERROR(__xludf.DUMMYFUNCTION("IMPORTRANGE(""https://docs.google.com/spreadsheets/d/11923uPwbBZFjjGgGUA6NLw09EwE0CqkOc4q9oUmW1yo/edit?usp=sharing"",""อุทัยธานี!J258"")"),1)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IFERROR(__xludf.DUMMYFUNCTION("IMPORTRANGE(""https://docs.google.com/spreadsheets/d/11923uPwbBZFjjGgGUA6NLw09EwE0CqkOc4q9oUmW1yo/edit?usp=sharing"",""อุทัยธานี!J166"")"),0)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IFERROR(__xludf.DUMMYFUNCTION("IMPORTRANGE(""https://docs.google.com/spreadsheets/d/11923uPwbBZFjjGgGUA6NLw09EwE0CqkOc4q9oUmW1yo/edit?usp=sharing"",""อุทัยธานี!J166"")"),0)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IFERROR(__xludf.DUMMYFUNCTION("IMPORTRANGE(""https://docs.google.com/spreadsheets/d/11923uPwbBZFjjGgGUA6NLw09EwE0CqkOc4q9oUmW1yo/edit?usp=sharing"",""อุทัยธานี!J166"")"),0)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IFERROR(__xludf.DUMMYFUNCTION("IMPORTRANGE(""https://docs.google.com/spreadsheets/d/11923uPwbBZFjjGgGUA6NLw09EwE0CqkOc4q9oUmW1yo/edit?usp=sharing"",""อุทัยธานี!J166"")"),0)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IFERROR(__xludf.DUMMYFUNCTION("IMPORTRANGE(""https://docs.google.com/spreadsheets/d/11923uPwbBZFjjGgGUA6NLw09EwE0CqkOc4q9oUmW1yo/edit?usp=sharing"",""อุทัยธานี!I263"")"),40)</f>
        <v>40</v>
      </c>
      <c r="J368" s="187">
        <f ca="1">IFERROR(__xludf.DUMMYFUNCTION("IMPORTRANGE(""https://docs.google.com/spreadsheets/d/11923uPwbBZFjjGgGUA6NLw09EwE0CqkOc4q9oUmW1yo/edit?usp=sharing"",""อุทัยธานี!J263"")"),40)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IFERROR(__xludf.DUMMYFUNCTION("IMPORTRANGE(""https://docs.google.com/spreadsheets/d/11923uPwbBZFjjGgGUA6NLw09EwE0CqkOc4q9oUmW1yo/edit?usp=sharing"",""อุทัยธานี!I164"")"),0)</f>
        <v>0</v>
      </c>
      <c r="J369" s="203">
        <f ca="1">IFERROR(__xludf.DUMMYFUNCTION("IMPORTRANGE(""https://docs.google.com/spreadsheets/d/11923uPwbBZFjjGgGUA6NLw09EwE0CqkOc4q9oUmW1yo/edit?usp=sharing"",""อุทัยธานี!J164"")"),0)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IFERROR(__xludf.DUMMYFUNCTION("IMPORTRANGE(""https://docs.google.com/spreadsheets/d/11923uPwbBZFjjGgGUA6NLw09EwE0CqkOc4q9oUmW1yo/edit?usp=sharing"",""อุทัยธานี!I265"")"),40)</f>
        <v>40</v>
      </c>
      <c r="J370" s="203">
        <f ca="1">IFERROR(__xludf.DUMMYFUNCTION("IMPORTRANGE(""https://docs.google.com/spreadsheets/d/11923uPwbBZFjjGgGUA6NLw09EwE0CqkOc4q9oUmW1yo/edit?usp=sharing"",""อุทัยธานี!J265"")"),40)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IFERROR(__xludf.DUMMYFUNCTION("IMPORTRANGE(""https://docs.google.com/spreadsheets/d/11923uPwbBZFjjGgGUA6NLw09EwE0CqkOc4q9oUmW1yo/edit?usp=sharing"",""อุทัยธานี!I164"")"),0)</f>
        <v>0</v>
      </c>
      <c r="J371" s="188">
        <f ca="1">IFERROR(__xludf.DUMMYFUNCTION("IMPORTRANGE(""https://docs.google.com/spreadsheets/d/11923uPwbBZFjjGgGUA6NLw09EwE0CqkOc4q9oUmW1yo/edit?usp=sharing"",""อุทัยธานี!J164"")"),0)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IFERROR(__xludf.DUMMYFUNCTION("IMPORTRANGE(""https://docs.google.com/spreadsheets/d/11923uPwbBZFjjGgGUA6NLw09EwE0CqkOc4q9oUmW1yo/edit?usp=sharing"",""อุทัยธานี!I267"")"),40)</f>
        <v>40</v>
      </c>
      <c r="J372" s="188">
        <f ca="1">IFERROR(__xludf.DUMMYFUNCTION("IMPORTRANGE(""https://docs.google.com/spreadsheets/d/11923uPwbBZFjjGgGUA6NLw09EwE0CqkOc4q9oUmW1yo/edit?usp=sharing"",""อุทัยธานี!J267"")"),40)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IFERROR(__xludf.DUMMYFUNCTION("IMPORTRANGE(""https://docs.google.com/spreadsheets/d/11923uPwbBZFjjGgGUA6NLw09EwE0CqkOc4q9oUmW1yo/edit?usp=sharing"",""อุทัยธานี!I164"")"),0)</f>
        <v>0</v>
      </c>
      <c r="J373" s="203">
        <f ca="1">IFERROR(__xludf.DUMMYFUNCTION("IMPORTRANGE(""https://docs.google.com/spreadsheets/d/11923uPwbBZFjjGgGUA6NLw09EwE0CqkOc4q9oUmW1yo/edit?usp=sharing"",""อุทัยธานี!J164"")"),0)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IFERROR(__xludf.DUMMYFUNCTION("IMPORTRANGE(""https://docs.google.com/spreadsheets/d/11923uPwbBZFjjGgGUA6NLw09EwE0CqkOc4q9oUmW1yo/edit?usp=sharing"",""อุทัยธานี!I164"")"),0)</f>
        <v>0</v>
      </c>
      <c r="J374" s="187">
        <f ca="1">IFERROR(__xludf.DUMMYFUNCTION("IMPORTRANGE(""https://docs.google.com/spreadsheets/d/11923uPwbBZFjjGgGUA6NLw09EwE0CqkOc4q9oUmW1yo/edit?usp=sharing"",""อุทัยธานี!J164"")"),0)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IFERROR(__xludf.DUMMYFUNCTION("IMPORTRANGE(""https://docs.google.com/spreadsheets/d/11923uPwbBZFjjGgGUA6NLw09EwE0CqkOc4q9oUmW1yo/edit?usp=sharing"",""อุทัยธานี!I270"")"),70)</f>
        <v>70</v>
      </c>
      <c r="J375" s="187">
        <f ca="1">IFERROR(__xludf.DUMMYFUNCTION("IMPORTRANGE(""https://docs.google.com/spreadsheets/d/11923uPwbBZFjjGgGUA6NLw09EwE0CqkOc4q9oUmW1yo/edit?usp=sharing"",""อุทัยธานี!J270"")"),20)</f>
        <v>20</v>
      </c>
      <c r="K375" s="163">
        <f t="shared" ref="K375:K377" ca="1" si="107">IF(I375&gt;0,J375*100/I375,0)</f>
        <v>28.571428571428573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IFERROR(__xludf.DUMMYFUNCTION("IMPORTRANGE(""https://docs.google.com/spreadsheets/d/11923uPwbBZFjjGgGUA6NLw09EwE0CqkOc4q9oUmW1yo/edit?usp=sharing"",""อุทัยธานี!I271"")"),20)</f>
        <v>20</v>
      </c>
      <c r="J376" s="188">
        <f ca="1">IFERROR(__xludf.DUMMYFUNCTION("IMPORTRANGE(""https://docs.google.com/spreadsheets/d/11923uPwbBZFjjGgGUA6NLw09EwE0CqkOc4q9oUmW1yo/edit?usp=sharing"",""อุทัยธานี!J271"")"),20)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IFERROR(__xludf.DUMMYFUNCTION("IMPORTRANGE(""https://docs.google.com/spreadsheets/d/11923uPwbBZFjjGgGUA6NLw09EwE0CqkOc4q9oUmW1yo/edit?usp=sharing"",""อุทัยธานี!I272"")"),50)</f>
        <v>50</v>
      </c>
      <c r="J377" s="203">
        <f ca="1">IFERROR(__xludf.DUMMYFUNCTION("IMPORTRANGE(""https://docs.google.com/spreadsheets/d/11923uPwbBZFjjGgGUA6NLw09EwE0CqkOc4q9oUmW1yo/edit?usp=sharing"",""อุทัยธานี!J272"")"),0)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IFERROR(__xludf.DUMMYFUNCTION("IMPORTRANGE(""https://docs.google.com/spreadsheets/d/11923uPwbBZFjjGgGUA6NLw09EwE0CqkOc4q9oUmW1yo/edit?usp=sharing"",""อุทัยธานี!J273"")"),0)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IFERROR(__xludf.DUMMYFUNCTION("IMPORTRANGE(""https://docs.google.com/spreadsheets/d/11923uPwbBZFjjGgGUA6NLw09EwE0CqkOc4q9oUmW1yo/edit?usp=sharing"",""อุทัยธานี!J274"")"),0)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IFERROR(__xludf.DUMMYFUNCTION("IMPORTRANGE(""https://docs.google.com/spreadsheets/d/11923uPwbBZFjjGgGUA6NLw09EwE0CqkOc4q9oUmW1yo/edit?usp=sharing"",""อุทัยธานี!I275"")"),1000)</f>
        <v>1000</v>
      </c>
      <c r="J380" s="370">
        <f ca="1">IFERROR(__xludf.DUMMYFUNCTION("IMPORTRANGE(""https://docs.google.com/spreadsheets/d/11923uPwbBZFjjGgGUA6NLw09EwE0CqkOc4q9oUmW1yo/edit?usp=sharing"",""อุทัยธานี!J275"")"),0)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IFERROR(__xludf.DUMMYFUNCTION("IMPORTRANGE(""https://docs.google.com/spreadsheets/d/11923uPwbBZFjjGgGUA6NLw09EwE0CqkOc4q9oUmW1yo/edit?usp=sharing"",""อุทัยธานี!L275"")"),1028520)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IFERROR(__xludf.DUMMYFUNCTION("IMPORTRANGE(""https://docs.google.com/spreadsheets/d/11923uPwbBZFjjGgGUA6NLw09EwE0CqkOc4q9oUmW1yo/edit?usp=sharing"",""อุทัยธานี!M275"")"),203952)</f>
        <v>203952</v>
      </c>
      <c r="O380" s="372">
        <f ca="1">+IF(L380&gt;0,N380*100/L380,0)</f>
        <v>19.829658149574147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IFERROR(__xludf.DUMMYFUNCTION("IMPORTRANGE(""https://docs.google.com/spreadsheets/d/11923uPwbBZFjjGgGUA6NLw09EwE0CqkOc4q9oUmW1yo/edit?usp=sharing"",""อุทัยธานี!I276"")"),100)</f>
        <v>100</v>
      </c>
      <c r="J381" s="370">
        <f ca="1">IFERROR(__xludf.DUMMYFUNCTION("IMPORTRANGE(""https://docs.google.com/spreadsheets/d/11923uPwbBZFjjGgGUA6NLw09EwE0CqkOc4q9oUmW1yo/edit?usp=sharing"",""อุทัยธานี!J276"")"),100)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IFERROR(__xludf.DUMMYFUNCTION("IMPORTRANGE(""https://docs.google.com/spreadsheets/d/11923uPwbBZFjjGgGUA6NLw09EwE0CqkOc4q9oUmW1yo/edit?usp=sharing"",""อุทัยธานี!L277"")"),0)</f>
        <v>0</v>
      </c>
      <c r="M382" s="164"/>
      <c r="N382" s="164">
        <f ca="1">IFERROR(__xludf.DUMMYFUNCTION("IMPORTRANGE(""https://docs.google.com/spreadsheets/d/11923uPwbBZFjjGgGUA6NLw09EwE0CqkOc4q9oUmW1yo/edit?usp=sharing"",""อุทัยธานี!M277"")"),0)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IFERROR(__xludf.DUMMYFUNCTION("IMPORTRANGE(""https://docs.google.com/spreadsheets/d/11923uPwbBZFjjGgGUA6NLw09EwE0CqkOc4q9oUmW1yo/edit?usp=sharing"",""อุทัยธานี!L278"")"),1028520)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IFERROR(__xludf.DUMMYFUNCTION("IMPORTRANGE(""https://docs.google.com/spreadsheets/d/11923uPwbBZFjjGgGUA6NLw09EwE0CqkOc4q9oUmW1yo/edit?usp=sharing"",""อุทัยธานี!M278"")"),203952)</f>
        <v>203952</v>
      </c>
      <c r="O383" s="165">
        <f t="shared" ca="1" si="109"/>
        <v>19.829658149574147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IFERROR(__xludf.DUMMYFUNCTION("IMPORTRANGE(""https://docs.google.com/spreadsheets/d/11923uPwbBZFjjGgGUA6NLw09EwE0CqkOc4q9oUmW1yo/edit?usp=sharing"",""อุทัยธานี!L279"")"),0)</f>
        <v>0</v>
      </c>
      <c r="M384" s="168"/>
      <c r="N384" s="168">
        <f ca="1">IFERROR(__xludf.DUMMYFUNCTION("IMPORTRANGE(""https://docs.google.com/spreadsheets/d/11923uPwbBZFjjGgGUA6NLw09EwE0CqkOc4q9oUmW1yo/edit?usp=sharing"",""อุทัยธานี!M279"")"),0)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IFERROR(__xludf.DUMMYFUNCTION("IMPORTRANGE(""https://docs.google.com/spreadsheets/d/11923uPwbBZFjjGgGUA6NLw09EwE0CqkOc4q9oUmW1yo/edit?usp=sharing"",""อุทัยธานี!L280"")"),1028520)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IFERROR(__xludf.DUMMYFUNCTION("IMPORTRANGE(""https://docs.google.com/spreadsheets/d/11923uPwbBZFjjGgGUA6NLw09EwE0CqkOc4q9oUmW1yo/edit?usp=sharing"",""อุทัยธานี!M280"")"),203952)</f>
        <v>203952</v>
      </c>
      <c r="O385" s="168">
        <f t="shared" ca="1" si="109"/>
        <v>19.829658149574147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IFERROR(__xludf.DUMMYFUNCTION("IMPORTRANGE(""https://docs.google.com/spreadsheets/d/11923uPwbBZFjjGgGUA6NLw09EwE0CqkOc4q9oUmW1yo/edit?usp=sharing"",""อุทัยธานี!M281"")"),125940)</f>
        <v>125940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IFERROR(__xludf.DUMMYFUNCTION("IMPORTRANGE(""https://docs.google.com/spreadsheets/d/11923uPwbBZFjjGgGUA6NLw09EwE0CqkOc4q9oUmW1yo/edit?usp=sharing"",""อุทัยธานี!M282"")"),0)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IFERROR(__xludf.DUMMYFUNCTION("IMPORTRANGE(""https://docs.google.com/spreadsheets/d/11923uPwbBZFjjGgGUA6NLw09EwE0CqkOc4q9oUmW1yo/edit?usp=sharing"",""อุทัยธานี!M283"")"),60652)</f>
        <v>60652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IFERROR(__xludf.DUMMYFUNCTION("IMPORTRANGE(""https://docs.google.com/spreadsheets/d/11923uPwbBZFjjGgGUA6NLw09EwE0CqkOc4q9oUmW1yo/edit?usp=sharing"",""อุทัยธานี!M284"")"),17360)</f>
        <v>17360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IFERROR(__xludf.DUMMYFUNCTION("IMPORTRANGE(""https://docs.google.com/spreadsheets/d/11923uPwbBZFjjGgGUA6NLw09EwE0CqkOc4q9oUmW1yo/edit?usp=sharing"",""อุทัยธานี!J286"")"),0)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IFERROR(__xludf.DUMMYFUNCTION("IMPORTRANGE(""https://docs.google.com/spreadsheets/d/11923uPwbBZFjjGgGUA6NLw09EwE0CqkOc4q9oUmW1yo/edit?usp=sharing"",""อุทัยธานี!J287"")"),1)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IFERROR(__xludf.DUMMYFUNCTION("IMPORTRANGE(""https://docs.google.com/spreadsheets/d/11923uPwbBZFjjGgGUA6NLw09EwE0CqkOc4q9oUmW1yo/edit?usp=sharing"",""อุทัยธานี!J288"")"),0)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IFERROR(__xludf.DUMMYFUNCTION("IMPORTRANGE(""https://docs.google.com/spreadsheets/d/11923uPwbBZFjjGgGUA6NLw09EwE0CqkOc4q9oUmW1yo/edit?usp=sharing"",""อุทัยธานี!J289"")"),0)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IFERROR(__xludf.DUMMYFUNCTION("IMPORTRANGE(""https://docs.google.com/spreadsheets/d/11923uPwbBZFjjGgGUA6NLw09EwE0CqkOc4q9oUmW1yo/edit?usp=sharing"",""อุทัยธานี!I291"")"),100)</f>
        <v>100</v>
      </c>
      <c r="J396" s="197">
        <f ca="1">IFERROR(__xludf.DUMMYFUNCTION("IMPORTRANGE(""https://docs.google.com/spreadsheets/d/11923uPwbBZFjjGgGUA6NLw09EwE0CqkOc4q9oUmW1yo/edit?usp=sharing"",""อุทัยธานี!J291"")"),100)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IFERROR(__xludf.DUMMYFUNCTION("IMPORTRANGE(""https://docs.google.com/spreadsheets/d/11923uPwbBZFjjGgGUA6NLw09EwE0CqkOc4q9oUmW1yo/edit?usp=sharing"",""อุทัยธานี!I292"")"),1000)</f>
        <v>1000</v>
      </c>
      <c r="J397" s="197">
        <f ca="1">IFERROR(__xludf.DUMMYFUNCTION("IMPORTRANGE(""https://docs.google.com/spreadsheets/d/11923uPwbBZFjjGgGUA6NLw09EwE0CqkOc4q9oUmW1yo/edit?usp=sharing"",""อุทัยธานี!J292"")"),0)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IFERROR(__xludf.DUMMYFUNCTION("IMPORTRANGE(""https://docs.google.com/spreadsheets/d/11923uPwbBZFjjGgGUA6NLw09EwE0CqkOc4q9oUmW1yo/edit?usp=sharing"",""อุทัยธานี!I293"")"),100)</f>
        <v>100</v>
      </c>
      <c r="J398" s="197">
        <f ca="1">IFERROR(__xludf.DUMMYFUNCTION("IMPORTRANGE(""https://docs.google.com/spreadsheets/d/11923uPwbBZFjjGgGUA6NLw09EwE0CqkOc4q9oUmW1yo/edit?usp=sharing"",""อุทัยธานี!J293"")"),0)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IFERROR(__xludf.DUMMYFUNCTION("IMPORTRANGE(""https://docs.google.com/spreadsheets/d/11923uPwbBZFjjGgGUA6NLw09EwE0CqkOc4q9oUmW1yo/edit?usp=sharing"",""อุทัยธานี!J294"")"),0)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IFERROR(__xludf.DUMMYFUNCTION("IMPORTRANGE(""https://docs.google.com/spreadsheets/d/11923uPwbBZFjjGgGUA6NLw09EwE0CqkOc4q9oUmW1yo/edit?usp=sharing"",""อุทัยธานี!J295"")"),0)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IFERROR(__xludf.DUMMYFUNCTION("IMPORTRANGE(""https://docs.google.com/spreadsheets/d/11923uPwbBZFjjGgGUA6NLw09EwE0CqkOc4q9oUmW1yo/edit?usp=sharing"",""อุทัยธานี!I296"")"),150)</f>
        <v>150</v>
      </c>
      <c r="J401" s="370">
        <f ca="1">IFERROR(__xludf.DUMMYFUNCTION("IMPORTRANGE(""https://docs.google.com/spreadsheets/d/11923uPwbBZFjjGgGUA6NLw09EwE0CqkOc4q9oUmW1yo/edit?usp=sharing"",""อุทัยธานี!J296"")"),150)</f>
        <v>150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IFERROR(__xludf.DUMMYFUNCTION("IMPORTRANGE(""https://docs.google.com/spreadsheets/d/11923uPwbBZFjjGgGUA6NLw09EwE0CqkOc4q9oUmW1yo/edit?usp=sharing"",""อุทัยธานี!L296"")"),177900)</f>
        <v>177900</v>
      </c>
      <c r="M401" s="372"/>
      <c r="N401" s="372">
        <f ca="1">IFERROR(__xludf.DUMMYFUNCTION("IMPORTRANGE(""https://docs.google.com/spreadsheets/d/11923uPwbBZFjjGgGUA6NLw09EwE0CqkOc4q9oUmW1yo/edit?usp=sharing"",""อุทัยธานี!M296"")"),140910)</f>
        <v>140910</v>
      </c>
      <c r="O401" s="372">
        <f ca="1">+IF(L401&gt;0,N401*100/L401,0)</f>
        <v>79.207419898819566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IFERROR(__xludf.DUMMYFUNCTION("IMPORTRANGE(""https://docs.google.com/spreadsheets/d/11923uPwbBZFjjGgGUA6NLw09EwE0CqkOc4q9oUmW1yo/edit?usp=sharing"",""อุทัยธานี!I297"")"),50)</f>
        <v>50</v>
      </c>
      <c r="J402" s="370">
        <f ca="1">IFERROR(__xludf.DUMMYFUNCTION("IMPORTRANGE(""https://docs.google.com/spreadsheets/d/11923uPwbBZFjjGgGUA6NLw09EwE0CqkOc4q9oUmW1yo/edit?usp=sharing"",""อุทัยธานี!J297"")"),30)</f>
        <v>30</v>
      </c>
      <c r="K402" s="371">
        <f t="shared" ca="1" si="111"/>
        <v>60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IFERROR(__xludf.DUMMYFUNCTION("IMPORTRANGE(""https://docs.google.com/spreadsheets/d/11923uPwbBZFjjGgGUA6NLw09EwE0CqkOc4q9oUmW1yo/edit?usp=sharing"",""อุทัยธานี!L298"")"),0)</f>
        <v>0</v>
      </c>
      <c r="M403" s="164"/>
      <c r="N403" s="168">
        <f ca="1">IFERROR(__xludf.DUMMYFUNCTION("IMPORTRANGE(""https://docs.google.com/spreadsheets/d/11923uPwbBZFjjGgGUA6NLw09EwE0CqkOc4q9oUmW1yo/edit?usp=sharing"",""อุทัยธานี!M298"")"),0)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IFERROR(__xludf.DUMMYFUNCTION("IMPORTRANGE(""https://docs.google.com/spreadsheets/d/11923uPwbBZFjjGgGUA6NLw09EwE0CqkOc4q9oUmW1yo/edit?usp=sharing"",""อุทัยธานี!L299"")"),177900)</f>
        <v>177900</v>
      </c>
      <c r="M404" s="165"/>
      <c r="N404" s="168">
        <f ca="1">IFERROR(__xludf.DUMMYFUNCTION("IMPORTRANGE(""https://docs.google.com/spreadsheets/d/11923uPwbBZFjjGgGUA6NLw09EwE0CqkOc4q9oUmW1yo/edit?usp=sharing"",""อุทัยธานี!M299"")"),140910)</f>
        <v>140910</v>
      </c>
      <c r="O404" s="168">
        <f t="shared" ca="1" si="112"/>
        <v>79.207419898819566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IFERROR(__xludf.DUMMYFUNCTION("IMPORTRANGE(""https://docs.google.com/spreadsheets/d/11923uPwbBZFjjGgGUA6NLw09EwE0CqkOc4q9oUmW1yo/edit?usp=sharing"",""อุทัยธานี!L300"")"),0)</f>
        <v>0</v>
      </c>
      <c r="M405" s="168"/>
      <c r="N405" s="168">
        <f ca="1">IFERROR(__xludf.DUMMYFUNCTION("IMPORTRANGE(""https://docs.google.com/spreadsheets/d/11923uPwbBZFjjGgGUA6NLw09EwE0CqkOc4q9oUmW1yo/edit?usp=sharing"",""อุทัยธานี!M300"")"),0)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IFERROR(__xludf.DUMMYFUNCTION("IMPORTRANGE(""https://docs.google.com/spreadsheets/d/11923uPwbBZFjjGgGUA6NLw09EwE0CqkOc4q9oUmW1yo/edit?usp=sharing"",""อุทัยธานี!L301"")"),177900)</f>
        <v>177900</v>
      </c>
      <c r="M406" s="168"/>
      <c r="N406" s="168">
        <f ca="1">IFERROR(__xludf.DUMMYFUNCTION("IMPORTRANGE(""https://docs.google.com/spreadsheets/d/11923uPwbBZFjjGgGUA6NLw09EwE0CqkOc4q9oUmW1yo/edit?usp=sharing"",""อุทัยธานี!M301"")"),140910)</f>
        <v>140910</v>
      </c>
      <c r="O406" s="168">
        <f t="shared" ca="1" si="112"/>
        <v>79.207419898819566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IFERROR(__xludf.DUMMYFUNCTION("IMPORTRANGE(""https://docs.google.com/spreadsheets/d/11923uPwbBZFjjGgGUA6NLw09EwE0CqkOc4q9oUmW1yo/edit?usp=sharing"",""อุทัยธานี!M302"")"),92350)</f>
        <v>92350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IFERROR(__xludf.DUMMYFUNCTION("IMPORTRANGE(""https://docs.google.com/spreadsheets/d/11923uPwbBZFjjGgGUA6NLw09EwE0CqkOc4q9oUmW1yo/edit?usp=sharing"",""อุทัยธานี!M303"")"),30000)</f>
        <v>30000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IFERROR(__xludf.DUMMYFUNCTION("IMPORTRANGE(""https://docs.google.com/spreadsheets/d/11923uPwbBZFjjGgGUA6NLw09EwE0CqkOc4q9oUmW1yo/edit?usp=sharing"",""อุทัยธานี!M304"")"),0)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IFERROR(__xludf.DUMMYFUNCTION("IMPORTRANGE(""https://docs.google.com/spreadsheets/d/11923uPwbBZFjjGgGUA6NLw09EwE0CqkOc4q9oUmW1yo/edit?usp=sharing"",""อุทัยธานี!M305"")"),18560)</f>
        <v>18560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IFERROR(__xludf.DUMMYFUNCTION("IMPORTRANGE(""https://docs.google.com/spreadsheets/d/11923uPwbBZFjjGgGUA6NLw09EwE0CqkOc4q9oUmW1yo/edit?usp=sharing"",""อุทัยธานี!J307"")"),0)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IFERROR(__xludf.DUMMYFUNCTION("IMPORTRANGE(""https://docs.google.com/spreadsheets/d/11923uPwbBZFjjGgGUA6NLw09EwE0CqkOc4q9oUmW1yo/edit?usp=sharing"",""อุทัยธานี!J308"")"),1)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IFERROR(__xludf.DUMMYFUNCTION("IMPORTRANGE(""https://docs.google.com/spreadsheets/d/11923uPwbBZFjjGgGUA6NLw09EwE0CqkOc4q9oUmW1yo/edit?usp=sharing"",""อุทัยธานี!J309"")"),0)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IFERROR(__xludf.DUMMYFUNCTION("IMPORTRANGE(""https://docs.google.com/spreadsheets/d/11923uPwbBZFjjGgGUA6NLw09EwE0CqkOc4q9oUmW1yo/edit?usp=sharing"",""อุทัยธานี!J310"")"),0)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IFERROR(__xludf.DUMMYFUNCTION("IMPORTRANGE(""https://docs.google.com/spreadsheets/d/11923uPwbBZFjjGgGUA6NLw09EwE0CqkOc4q9oUmW1yo/edit?usp=sharing"",""อุทัยธานี!I311"")"),50)</f>
        <v>50</v>
      </c>
      <c r="J416" s="200">
        <f ca="1">IFERROR(__xludf.DUMMYFUNCTION("IMPORTRANGE(""https://docs.google.com/spreadsheets/d/11923uPwbBZFjjGgGUA6NLw09EwE0CqkOc4q9oUmW1yo/edit?usp=sharing"",""อุทัยธานี!J311"")"),30)</f>
        <v>30</v>
      </c>
      <c r="K416" s="201">
        <f t="shared" ref="K416:K432" ca="1" si="113">IF(I416&gt;0,J416*100/I416,0)</f>
        <v>60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IFERROR(__xludf.DUMMYFUNCTION("IMPORTRANGE(""https://docs.google.com/spreadsheets/d/11923uPwbBZFjjGgGUA6NLw09EwE0CqkOc4q9oUmW1yo/edit?usp=sharing"",""อุทัยธานี!I312"")"),20)</f>
        <v>20</v>
      </c>
      <c r="J417" s="391">
        <f ca="1">IFERROR(__xludf.DUMMYFUNCTION("IMPORTRANGE(""https://docs.google.com/spreadsheets/d/11923uPwbBZFjjGgGUA6NLw09EwE0CqkOc4q9oUmW1yo/edit?usp=sharing"",""อุทัยธานี!J312"")"),20)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IFERROR(__xludf.DUMMYFUNCTION("IMPORTRANGE(""https://docs.google.com/spreadsheets/d/11923uPwbBZFjjGgGUA6NLw09EwE0CqkOc4q9oUmW1yo/edit?usp=sharing"",""อุทัยธานี!I313"")"),60)</f>
        <v>60</v>
      </c>
      <c r="J418" s="392">
        <f ca="1">IFERROR(__xludf.DUMMYFUNCTION("IMPORTRANGE(""https://docs.google.com/spreadsheets/d/11923uPwbBZFjjGgGUA6NLw09EwE0CqkOc4q9oUmW1yo/edit?usp=sharing"",""อุทัยธานี!J313"")"),60)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IFERROR(__xludf.DUMMYFUNCTION("IMPORTRANGE(""https://docs.google.com/spreadsheets/d/11923uPwbBZFjjGgGUA6NLw09EwE0CqkOc4q9oUmW1yo/edit?usp=sharing"",""อุทัยธานี!I314"")"),20)</f>
        <v>20</v>
      </c>
      <c r="J419" s="393">
        <f ca="1">IFERROR(__xludf.DUMMYFUNCTION("IMPORTRANGE(""https://docs.google.com/spreadsheets/d/11923uPwbBZFjjGgGUA6NLw09EwE0CqkOc4q9oUmW1yo/edit?usp=sharing"",""อุทัยธานี!J314"")"),20)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IFERROR(__xludf.DUMMYFUNCTION("IMPORTRANGE(""https://docs.google.com/spreadsheets/d/11923uPwbBZFjjGgGUA6NLw09EwE0CqkOc4q9oUmW1yo/edit?usp=sharing"",""อุทัยธานี!I315"")"),20)</f>
        <v>20</v>
      </c>
      <c r="J420" s="393">
        <f ca="1">IFERROR(__xludf.DUMMYFUNCTION("IMPORTRANGE(""https://docs.google.com/spreadsheets/d/11923uPwbBZFjjGgGUA6NLw09EwE0CqkOc4q9oUmW1yo/edit?usp=sharing"",""อุทัยธานี!J315"")"),20)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IFERROR(__xludf.DUMMYFUNCTION("IMPORTRANGE(""https://docs.google.com/spreadsheets/d/11923uPwbBZFjjGgGUA6NLw09EwE0CqkOc4q9oUmW1yo/edit?usp=sharing"",""อุทัยธานี!I316"")"),20)</f>
        <v>20</v>
      </c>
      <c r="J421" s="391">
        <f ca="1">IFERROR(__xludf.DUMMYFUNCTION("IMPORTRANGE(""https://docs.google.com/spreadsheets/d/11923uPwbBZFjjGgGUA6NLw09EwE0CqkOc4q9oUmW1yo/edit?usp=sharing"",""อุทัยธานี!J316"")"),0)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IFERROR(__xludf.DUMMYFUNCTION("IMPORTRANGE(""https://docs.google.com/spreadsheets/d/11923uPwbBZFjjGgGUA6NLw09EwE0CqkOc4q9oUmW1yo/edit?usp=sharing"",""อุทัยธานี!I317"")"),60)</f>
        <v>60</v>
      </c>
      <c r="J422" s="392">
        <f ca="1">IFERROR(__xludf.DUMMYFUNCTION("IMPORTRANGE(""https://docs.google.com/spreadsheets/d/11923uPwbBZFjjGgGUA6NLw09EwE0CqkOc4q9oUmW1yo/edit?usp=sharing"",""อุทัยธานี!J317"")"),60)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IFERROR(__xludf.DUMMYFUNCTION("IMPORTRANGE(""https://docs.google.com/spreadsheets/d/11923uPwbBZFjjGgGUA6NLw09EwE0CqkOc4q9oUmW1yo/edit?usp=sharing"",""อุทัยธานี!I318"")"),20)</f>
        <v>20</v>
      </c>
      <c r="J423" s="393">
        <f ca="1">IFERROR(__xludf.DUMMYFUNCTION("IMPORTRANGE(""https://docs.google.com/spreadsheets/d/11923uPwbBZFjjGgGUA6NLw09EwE0CqkOc4q9oUmW1yo/edit?usp=sharing"",""อุทัยธานี!J318"")"),20)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IFERROR(__xludf.DUMMYFUNCTION("IMPORTRANGE(""https://docs.google.com/spreadsheets/d/11923uPwbBZFjjGgGUA6NLw09EwE0CqkOc4q9oUmW1yo/edit?usp=sharing"",""อุทัยธานี!I319"")"),20)</f>
        <v>20</v>
      </c>
      <c r="J424" s="393">
        <f ca="1">IFERROR(__xludf.DUMMYFUNCTION("IMPORTRANGE(""https://docs.google.com/spreadsheets/d/11923uPwbBZFjjGgGUA6NLw09EwE0CqkOc4q9oUmW1yo/edit?usp=sharing"",""อุทัยธานี!J319"")"),20)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IFERROR(__xludf.DUMMYFUNCTION("IMPORTRANGE(""https://docs.google.com/spreadsheets/d/11923uPwbBZFjjGgGUA6NLw09EwE0CqkOc4q9oUmW1yo/edit?usp=sharing"",""อุทัยธานี!I320"")"),20)</f>
        <v>20</v>
      </c>
      <c r="J425" s="393">
        <f ca="1">IFERROR(__xludf.DUMMYFUNCTION("IMPORTRANGE(""https://docs.google.com/spreadsheets/d/11923uPwbBZFjjGgGUA6NLw09EwE0CqkOc4q9oUmW1yo/edit?usp=sharing"",""อุทัยธานี!J320"")"),0)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IFERROR(__xludf.DUMMYFUNCTION("IMPORTRANGE(""https://docs.google.com/spreadsheets/d/11923uPwbBZFjjGgGUA6NLw09EwE0CqkOc4q9oUmW1yo/edit?usp=sharing"",""อุทัยธานี!I321"")"),10)</f>
        <v>10</v>
      </c>
      <c r="J426" s="391">
        <f ca="1">IFERROR(__xludf.DUMMYFUNCTION("IMPORTRANGE(""https://docs.google.com/spreadsheets/d/11923uPwbBZFjjGgGUA6NLw09EwE0CqkOc4q9oUmW1yo/edit?usp=sharing"",""อุทัยธานี!J321"")"),10)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IFERROR(__xludf.DUMMYFUNCTION("IMPORTRANGE(""https://docs.google.com/spreadsheets/d/11923uPwbBZFjjGgGUA6NLw09EwE0CqkOc4q9oUmW1yo/edit?usp=sharing"",""อุทัยธานี!I322"")"),30)</f>
        <v>30</v>
      </c>
      <c r="J427" s="392">
        <f ca="1">IFERROR(__xludf.DUMMYFUNCTION("IMPORTRANGE(""https://docs.google.com/spreadsheets/d/11923uPwbBZFjjGgGUA6NLw09EwE0CqkOc4q9oUmW1yo/edit?usp=sharing"",""อุทัยธานี!J322"")"),30)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IFERROR(__xludf.DUMMYFUNCTION("IMPORTRANGE(""https://docs.google.com/spreadsheets/d/11923uPwbBZFjjGgGUA6NLw09EwE0CqkOc4q9oUmW1yo/edit?usp=sharing"",""อุทัยธานี!I323"")"),10)</f>
        <v>10</v>
      </c>
      <c r="J428" s="393">
        <f ca="1">IFERROR(__xludf.DUMMYFUNCTION("IMPORTRANGE(""https://docs.google.com/spreadsheets/d/11923uPwbBZFjjGgGUA6NLw09EwE0CqkOc4q9oUmW1yo/edit?usp=sharing"",""อุทัยธานี!J323"")"),10)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IFERROR(__xludf.DUMMYFUNCTION("IMPORTRANGE(""https://docs.google.com/spreadsheets/d/11923uPwbBZFjjGgGUA6NLw09EwE0CqkOc4q9oUmW1yo/edit?usp=sharing"",""อุทัยธานี!I324"")"),10)</f>
        <v>10</v>
      </c>
      <c r="J429" s="393">
        <f ca="1">IFERROR(__xludf.DUMMYFUNCTION("IMPORTRANGE(""https://docs.google.com/spreadsheets/d/11923uPwbBZFjjGgGUA6NLw09EwE0CqkOc4q9oUmW1yo/edit?usp=sharing"",""อุทัยธานี!J324"")"),10)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IFERROR(__xludf.DUMMYFUNCTION("IMPORTRANGE(""https://docs.google.com/spreadsheets/d/11923uPwbBZFjjGgGUA6NLw09EwE0CqkOc4q9oUmW1yo/edit?usp=sharing"",""อุทัยธานี!I325"")"),40)</f>
        <v>40</v>
      </c>
      <c r="J430" s="391">
        <f ca="1">IFERROR(__xludf.DUMMYFUNCTION("IMPORTRANGE(""https://docs.google.com/spreadsheets/d/11923uPwbBZFjjGgGUA6NLw09EwE0CqkOc4q9oUmW1yo/edit?usp=sharing"",""อุทัยธานี!J325"")"),40)</f>
        <v>40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IFERROR(__xludf.DUMMYFUNCTION("IMPORTRANGE(""https://docs.google.com/spreadsheets/d/11923uPwbBZFjjGgGUA6NLw09EwE0CqkOc4q9oUmW1yo/edit?usp=sharing"",""อุทัยธานี!I326"")"),20)</f>
        <v>20</v>
      </c>
      <c r="J431" s="393">
        <f ca="1">IFERROR(__xludf.DUMMYFUNCTION("IMPORTRANGE(""https://docs.google.com/spreadsheets/d/11923uPwbBZFjjGgGUA6NLw09EwE0CqkOc4q9oUmW1yo/edit?usp=sharing"",""อุทัยธานี!J326"")"),20)</f>
        <v>20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IFERROR(__xludf.DUMMYFUNCTION("IMPORTRANGE(""https://docs.google.com/spreadsheets/d/11923uPwbBZFjjGgGUA6NLw09EwE0CqkOc4q9oUmW1yo/edit?usp=sharing"",""อุทัยธานี!I327"")"),20)</f>
        <v>20</v>
      </c>
      <c r="J432" s="393">
        <f ca="1">IFERROR(__xludf.DUMMYFUNCTION("IMPORTRANGE(""https://docs.google.com/spreadsheets/d/11923uPwbBZFjjGgGUA6NLw09EwE0CqkOc4q9oUmW1yo/edit?usp=sharing"",""อุทัยธานี!J327"")"),20)</f>
        <v>20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IFERROR(__xludf.DUMMYFUNCTION("IMPORTRANGE(""https://docs.google.com/spreadsheets/d/11923uPwbBZFjjGgGUA6NLw09EwE0CqkOc4q9oUmW1yo/edit?usp=sharing"",""อุทัยธานี!J328"")"),0)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IFERROR(__xludf.DUMMYFUNCTION("IMPORTRANGE(""https://docs.google.com/spreadsheets/d/11923uPwbBZFjjGgGUA6NLw09EwE0CqkOc4q9oUmW1yo/edit?usp=sharing"",""อุทัยธานี!J329"")"),0)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IFERROR(__xludf.DUMMYFUNCTION("IMPORTRANGE(""https://docs.google.com/spreadsheets/d/11923uPwbBZFjjGgGUA6NLw09EwE0CqkOc4q9oUmW1yo/edit?usp=sharing"",""อุทัยธานี!I330"")"),15)</f>
        <v>15</v>
      </c>
      <c r="J435" s="409">
        <f ca="1">IFERROR(__xludf.DUMMYFUNCTION("IMPORTRANGE(""https://docs.google.com/spreadsheets/d/11923uPwbBZFjjGgGUA6NLw09EwE0CqkOc4q9oUmW1yo/edit?usp=sharing"",""อุทัยธานี!J330"")"),15)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IFERROR(__xludf.DUMMYFUNCTION("IMPORTRANGE(""https://docs.google.com/spreadsheets/d/11923uPwbBZFjjGgGUA6NLw09EwE0CqkOc4q9oUmW1yo/edit?usp=sharing"",""อุทัยธานี!L330"")"),88000)</f>
        <v>88000</v>
      </c>
      <c r="M435" s="411"/>
      <c r="N435" s="411">
        <f ca="1">IFERROR(__xludf.DUMMYFUNCTION("IMPORTRANGE(""https://docs.google.com/spreadsheets/d/11923uPwbBZFjjGgGUA6NLw09EwE0CqkOc4q9oUmW1yo/edit?usp=sharing"",""อุทัยธานี!M330"")"),52190)</f>
        <v>52190</v>
      </c>
      <c r="O435" s="411">
        <f t="shared" ref="O435:O439" ca="1" si="114">+IF(L435&gt;0,N435*100/L435,0)</f>
        <v>59.30681818181818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IFERROR(__xludf.DUMMYFUNCTION("IMPORTRANGE(""https://docs.google.com/spreadsheets/d/11923uPwbBZFjjGgGUA6NLw09EwE0CqkOc4q9oUmW1yo/edit?usp=sharing"",""อุทัยธานี!L331"")"),0)</f>
        <v>0</v>
      </c>
      <c r="M436" s="164"/>
      <c r="N436" s="168">
        <f ca="1">IFERROR(__xludf.DUMMYFUNCTION("IMPORTRANGE(""https://docs.google.com/spreadsheets/d/11923uPwbBZFjjGgGUA6NLw09EwE0CqkOc4q9oUmW1yo/edit?usp=sharing"",""อุทัยธานี!M331"")"),0)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IFERROR(__xludf.DUMMYFUNCTION("IMPORTRANGE(""https://docs.google.com/spreadsheets/d/11923uPwbBZFjjGgGUA6NLw09EwE0CqkOc4q9oUmW1yo/edit?usp=sharing"",""อุทัยธานี!L332"")"),88000)</f>
        <v>88000</v>
      </c>
      <c r="M437" s="165"/>
      <c r="N437" s="168">
        <f ca="1">IFERROR(__xludf.DUMMYFUNCTION("IMPORTRANGE(""https://docs.google.com/spreadsheets/d/11923uPwbBZFjjGgGUA6NLw09EwE0CqkOc4q9oUmW1yo/edit?usp=sharing"",""อุทัยธานี!M332"")"),52190)</f>
        <v>52190</v>
      </c>
      <c r="O437" s="168">
        <f t="shared" ca="1" si="114"/>
        <v>59.30681818181818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IFERROR(__xludf.DUMMYFUNCTION("IMPORTRANGE(""https://docs.google.com/spreadsheets/d/11923uPwbBZFjjGgGUA6NLw09EwE0CqkOc4q9oUmW1yo/edit?usp=sharing"",""อุทัยธานี!L333"")"),0)</f>
        <v>0</v>
      </c>
      <c r="M438" s="168"/>
      <c r="N438" s="168">
        <f ca="1">IFERROR(__xludf.DUMMYFUNCTION("IMPORTRANGE(""https://docs.google.com/spreadsheets/d/11923uPwbBZFjjGgGUA6NLw09EwE0CqkOc4q9oUmW1yo/edit?usp=sharing"",""อุทัยธานี!M333"")"),0)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IFERROR(__xludf.DUMMYFUNCTION("IMPORTRANGE(""https://docs.google.com/spreadsheets/d/11923uPwbBZFjjGgGUA6NLw09EwE0CqkOc4q9oUmW1yo/edit?usp=sharing"",""อุทัยธานี!L334"")"),88000)</f>
        <v>88000</v>
      </c>
      <c r="M439" s="168"/>
      <c r="N439" s="168">
        <f ca="1">IFERROR(__xludf.DUMMYFUNCTION("IMPORTRANGE(""https://docs.google.com/spreadsheets/d/11923uPwbBZFjjGgGUA6NLw09EwE0CqkOc4q9oUmW1yo/edit?usp=sharing"",""อุทัยธานี!M334"")"),52190)</f>
        <v>52190</v>
      </c>
      <c r="O439" s="168">
        <f t="shared" ca="1" si="114"/>
        <v>59.30681818181818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IFERROR(__xludf.DUMMYFUNCTION("IMPORTRANGE(""https://docs.google.com/spreadsheets/d/11923uPwbBZFjjGgGUA6NLw09EwE0CqkOc4q9oUmW1yo/edit?usp=sharing"",""อุทัยธานี!M335"")"),35300)</f>
        <v>35300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IFERROR(__xludf.DUMMYFUNCTION("IMPORTRANGE(""https://docs.google.com/spreadsheets/d/11923uPwbBZFjjGgGUA6NLw09EwE0CqkOc4q9oUmW1yo/edit?usp=sharing"",""อุทัยธานี!M336"")"),0)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IFERROR(__xludf.DUMMYFUNCTION("IMPORTRANGE(""https://docs.google.com/spreadsheets/d/11923uPwbBZFjjGgGUA6NLw09EwE0CqkOc4q9oUmW1yo/edit?usp=sharing"",""อุทัยธานี!M337"")"),0)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IFERROR(__xludf.DUMMYFUNCTION("IMPORTRANGE(""https://docs.google.com/spreadsheets/d/11923uPwbBZFjjGgGUA6NLw09EwE0CqkOc4q9oUmW1yo/edit?usp=sharing"",""อุทัยธานี!M338"")"),16890)</f>
        <v>16890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IFERROR(__xludf.DUMMYFUNCTION("IMPORTRANGE(""https://docs.google.com/spreadsheets/d/11923uPwbBZFjjGgGUA6NLw09EwE0CqkOc4q9oUmW1yo/edit?usp=sharing"",""อุทัยธานี!J340"")"),0)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IFERROR(__xludf.DUMMYFUNCTION("IMPORTRANGE(""https://docs.google.com/spreadsheets/d/11923uPwbBZFjjGgGUA6NLw09EwE0CqkOc4q9oUmW1yo/edit?usp=sharing"",""อุทัยธานี!J341"")"),1)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IFERROR(__xludf.DUMMYFUNCTION("IMPORTRANGE(""https://docs.google.com/spreadsheets/d/11923uPwbBZFjjGgGUA6NLw09EwE0CqkOc4q9oUmW1yo/edit?usp=sharing"",""อุทัยธานี!J342"")"),1)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IFERROR(__xludf.DUMMYFUNCTION("IMPORTRANGE(""https://docs.google.com/spreadsheets/d/11923uPwbBZFjjGgGUA6NLw09EwE0CqkOc4q9oUmW1yo/edit?usp=sharing"",""อุทัยธานี!J343"")"),1)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IFERROR(__xludf.DUMMYFUNCTION("IMPORTRANGE(""https://docs.google.com/spreadsheets/d/11923uPwbBZFjjGgGUA6NLw09EwE0CqkOc4q9oUmW1yo/edit?usp=sharing"",""อุทัยธานี!I344"")"),15)</f>
        <v>15</v>
      </c>
      <c r="J449" s="200">
        <f ca="1">IFERROR(__xludf.DUMMYFUNCTION("IMPORTRANGE(""https://docs.google.com/spreadsheets/d/11923uPwbBZFjjGgGUA6NLw09EwE0CqkOc4q9oUmW1yo/edit?usp=sharing"",""อุทัยธานี!J344"")"),15)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IFERROR(__xludf.DUMMYFUNCTION("IMPORTRANGE(""https://docs.google.com/spreadsheets/d/11923uPwbBZFjjGgGUA6NLw09EwE0CqkOc4q9oUmW1yo/edit?usp=sharing"",""อุทัยธานี!I345"")"),15)</f>
        <v>15</v>
      </c>
      <c r="J450" s="188">
        <f ca="1">IFERROR(__xludf.DUMMYFUNCTION("IMPORTRANGE(""https://docs.google.com/spreadsheets/d/11923uPwbBZFjjGgGUA6NLw09EwE0CqkOc4q9oUmW1yo/edit?usp=sharing"",""อุทัยธานี!J345"")"),15)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IFERROR(__xludf.DUMMYFUNCTION("IMPORTRANGE(""https://docs.google.com/spreadsheets/d/11923uPwbBZFjjGgGUA6NLw09EwE0CqkOc4q9oUmW1yo/edit?usp=sharing"",""อุทัยธานี!I346"")"),0)</f>
        <v>0</v>
      </c>
      <c r="J451" s="187">
        <f ca="1">IFERROR(__xludf.DUMMYFUNCTION("IMPORTRANGE(""https://docs.google.com/spreadsheets/d/11923uPwbBZFjjGgGUA6NLw09EwE0CqkOc4q9oUmW1yo/edit?usp=sharing"",""อุทัยธานี!J346"")"),0)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IFERROR(__xludf.DUMMYFUNCTION("IMPORTRANGE(""https://docs.google.com/spreadsheets/d/11923uPwbBZFjjGgGUA6NLw09EwE0CqkOc4q9oUmW1yo/edit?usp=sharing"",""อุทัยธานี!I347"")"),0)</f>
        <v>0</v>
      </c>
      <c r="J452" s="187">
        <f ca="1">IFERROR(__xludf.DUMMYFUNCTION("IMPORTRANGE(""https://docs.google.com/spreadsheets/d/11923uPwbBZFjjGgGUA6NLw09EwE0CqkOc4q9oUmW1yo/edit?usp=sharing"",""อุทัยธานี!J347"")"),0)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IFERROR(__xludf.DUMMYFUNCTION("IMPORTRANGE(""https://docs.google.com/spreadsheets/d/11923uPwbBZFjjGgGUA6NLw09EwE0CqkOc4q9oUmW1yo/edit?usp=sharing"",""อุทัยธานี!J348"")"),0)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IFERROR(__xludf.DUMMYFUNCTION("IMPORTRANGE(""https://docs.google.com/spreadsheets/d/11923uPwbBZFjjGgGUA6NLw09EwE0CqkOc4q9oUmW1yo/edit?usp=sharing"",""อุทัยธานี!J349"")"),0)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IFERROR(__xludf.DUMMYFUNCTION("IMPORTRANGE(""https://docs.google.com/spreadsheets/d/11923uPwbBZFjjGgGUA6NLw09EwE0CqkOc4q9oUmW1yo/edit?usp=sharing"",""อุทัยธานี!I350"")"),24034)</f>
        <v>24034</v>
      </c>
      <c r="J455" s="370">
        <f ca="1">IFERROR(__xludf.DUMMYFUNCTION("IMPORTRANGE(""https://docs.google.com/spreadsheets/d/11923uPwbBZFjjGgGUA6NLw09EwE0CqkOc4q9oUmW1yo/edit?usp=sharing"",""อุทัยธานี!J350"")"),24034)</f>
        <v>24034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IFERROR(__xludf.DUMMYFUNCTION("IMPORTRANGE(""https://docs.google.com/spreadsheets/d/11923uPwbBZFjjGgGUA6NLw09EwE0CqkOc4q9oUmW1yo/edit?usp=sharing"",""อุทัยธานี!L350"")"),320488)</f>
        <v>320488</v>
      </c>
      <c r="M455" s="372"/>
      <c r="N455" s="372">
        <f ca="1">IFERROR(__xludf.DUMMYFUNCTION("IMPORTRANGE(""https://docs.google.com/spreadsheets/d/11923uPwbBZFjjGgGUA6NLw09EwE0CqkOc4q9oUmW1yo/edit?usp=sharing"",""อุทัยธานี!M350"")"),47570)</f>
        <v>47570</v>
      </c>
      <c r="O455" s="372">
        <f t="shared" ref="O455:O459" ca="1" si="116">+IF(L455&gt;0,N455*100/L455,0)</f>
        <v>14.842989441102318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IFERROR(__xludf.DUMMYFUNCTION("IMPORTRANGE(""https://docs.google.com/spreadsheets/d/11923uPwbBZFjjGgGUA6NLw09EwE0CqkOc4q9oUmW1yo/edit?usp=sharing"",""อุทัยธานี!L351"")"),0)</f>
        <v>0</v>
      </c>
      <c r="M456" s="164"/>
      <c r="N456" s="168">
        <f ca="1">IFERROR(__xludf.DUMMYFUNCTION("IMPORTRANGE(""https://docs.google.com/spreadsheets/d/11923uPwbBZFjjGgGUA6NLw09EwE0CqkOc4q9oUmW1yo/edit?usp=sharing"",""อุทัยธานี!M351"")"),0)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IFERROR(__xludf.DUMMYFUNCTION("IMPORTRANGE(""https://docs.google.com/spreadsheets/d/11923uPwbBZFjjGgGUA6NLw09EwE0CqkOc4q9oUmW1yo/edit?usp=sharing"",""อุทัยธานี!L352"")"),320488)</f>
        <v>320488</v>
      </c>
      <c r="M457" s="165"/>
      <c r="N457" s="168">
        <f ca="1">IFERROR(__xludf.DUMMYFUNCTION("IMPORTRANGE(""https://docs.google.com/spreadsheets/d/11923uPwbBZFjjGgGUA6NLw09EwE0CqkOc4q9oUmW1yo/edit?usp=sharing"",""อุทัยธานี!M352"")"),47570)</f>
        <v>47570</v>
      </c>
      <c r="O457" s="168">
        <f t="shared" ca="1" si="116"/>
        <v>14.842989441102318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IFERROR(__xludf.DUMMYFUNCTION("IMPORTRANGE(""https://docs.google.com/spreadsheets/d/11923uPwbBZFjjGgGUA6NLw09EwE0CqkOc4q9oUmW1yo/edit?usp=sharing"",""อุทัยธานี!L353"")"),0)</f>
        <v>0</v>
      </c>
      <c r="M458" s="168"/>
      <c r="N458" s="168">
        <f ca="1">IFERROR(__xludf.DUMMYFUNCTION("IMPORTRANGE(""https://docs.google.com/spreadsheets/d/11923uPwbBZFjjGgGUA6NLw09EwE0CqkOc4q9oUmW1yo/edit?usp=sharing"",""อุทัยธานี!M353"")"),0)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IFERROR(__xludf.DUMMYFUNCTION("IMPORTRANGE(""https://docs.google.com/spreadsheets/d/11923uPwbBZFjjGgGUA6NLw09EwE0CqkOc4q9oUmW1yo/edit?usp=sharing"",""อุทัยธานี!L354"")"),320488)</f>
        <v>320488</v>
      </c>
      <c r="M459" s="168"/>
      <c r="N459" s="168">
        <f ca="1">IFERROR(__xludf.DUMMYFUNCTION("IMPORTRANGE(""https://docs.google.com/spreadsheets/d/11923uPwbBZFjjGgGUA6NLw09EwE0CqkOc4q9oUmW1yo/edit?usp=sharing"",""อุทัยธานี!M354"")"),47570)</f>
        <v>47570</v>
      </c>
      <c r="O459" s="168">
        <f t="shared" ca="1" si="116"/>
        <v>14.842989441102318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IFERROR(__xludf.DUMMYFUNCTION("IMPORTRANGE(""https://docs.google.com/spreadsheets/d/11923uPwbBZFjjGgGUA6NLw09EwE0CqkOc4q9oUmW1yo/edit?usp=sharing"",""อุทัยธานี!M355"")"),0)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IFERROR(__xludf.DUMMYFUNCTION("IMPORTRANGE(""https://docs.google.com/spreadsheets/d/11923uPwbBZFjjGgGUA6NLw09EwE0CqkOc4q9oUmW1yo/edit?usp=sharing"",""อุทัยธานี!M356"")"),0)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IFERROR(__xludf.DUMMYFUNCTION("IMPORTRANGE(""https://docs.google.com/spreadsheets/d/11923uPwbBZFjjGgGUA6NLw09EwE0CqkOc4q9oUmW1yo/edit?usp=sharing"",""อุทัยธานี!M357"")"),0)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IFERROR(__xludf.DUMMYFUNCTION("IMPORTRANGE(""https://docs.google.com/spreadsheets/d/11923uPwbBZFjjGgGUA6NLw09EwE0CqkOc4q9oUmW1yo/edit?usp=sharing"",""อุทัยธานี!M358"")"),47570)</f>
        <v>47570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IFERROR(__xludf.DUMMYFUNCTION("IMPORTRANGE(""https://docs.google.com/spreadsheets/d/11923uPwbBZFjjGgGUA6NLw09EwE0CqkOc4q9oUmW1yo/edit?usp=sharing"",""อุทัยธานี!I359"")"),24034)</f>
        <v>24034</v>
      </c>
      <c r="J464" s="267">
        <f ca="1">IFERROR(__xludf.DUMMYFUNCTION("IMPORTRANGE(""https://docs.google.com/spreadsheets/d/11923uPwbBZFjjGgGUA6NLw09EwE0CqkOc4q9oUmW1yo/edit?usp=sharing"",""อุทัยธานี!J359"")"),24034)</f>
        <v>24034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IFERROR(__xludf.DUMMYFUNCTION("IMPORTRANGE(""https://docs.google.com/spreadsheets/d/11923uPwbBZFjjGgGUA6NLw09EwE0CqkOc4q9oUmW1yo/edit?usp=sharing"",""อุทัยธานี!I360"")"),24034)</f>
        <v>24034</v>
      </c>
      <c r="J465" s="420">
        <f ca="1">IFERROR(__xludf.DUMMYFUNCTION("IMPORTRANGE(""https://docs.google.com/spreadsheets/d/11923uPwbBZFjjGgGUA6NLw09EwE0CqkOc4q9oUmW1yo/edit?usp=sharing"",""อุทัยธานี!J360"")"),24034.4)</f>
        <v>24034.400000000001</v>
      </c>
      <c r="K465" s="201">
        <f t="shared" ca="1" si="117"/>
        <v>100.00166430889573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IFERROR(__xludf.DUMMYFUNCTION("IMPORTRANGE(""https://docs.google.com/spreadsheets/d/11923uPwbBZFjjGgGUA6NLw09EwE0CqkOc4q9oUmW1yo/edit?usp=sharing"",""อุทัยธานี!I361"")"),2600)</f>
        <v>2600</v>
      </c>
      <c r="J466" s="420">
        <f ca="1">IFERROR(__xludf.DUMMYFUNCTION("IMPORTRANGE(""https://docs.google.com/spreadsheets/d/11923uPwbBZFjjGgGUA6NLw09EwE0CqkOc4q9oUmW1yo/edit?usp=sharing"",""อุทัยธานี!J361"")"),2600)</f>
        <v>2600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IFERROR(__xludf.DUMMYFUNCTION("IMPORTRANGE(""https://docs.google.com/spreadsheets/d/11923uPwbBZFjjGgGUA6NLw09EwE0CqkOc4q9oUmW1yo/edit?usp=sharing"",""อุทัยธานี!I362"")"),0)</f>
        <v>0</v>
      </c>
      <c r="J467" s="188">
        <f ca="1">IFERROR(__xludf.DUMMYFUNCTION("IMPORTRANGE(""https://docs.google.com/spreadsheets/d/11923uPwbBZFjjGgGUA6NLw09EwE0CqkOc4q9oUmW1yo/edit?usp=sharing"",""อุทัยธานี!J362"")"),17524)</f>
        <v>17524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IFERROR(__xludf.DUMMYFUNCTION("IMPORTRANGE(""https://docs.google.com/spreadsheets/d/11923uPwbBZFjjGgGUA6NLw09EwE0CqkOc4q9oUmW1yo/edit?usp=sharing"",""อุทัยธานี!I363"")"),0)</f>
        <v>0</v>
      </c>
      <c r="J468" s="188">
        <f ca="1">IFERROR(__xludf.DUMMYFUNCTION("IMPORTRANGE(""https://docs.google.com/spreadsheets/d/11923uPwbBZFjjGgGUA6NLw09EwE0CqkOc4q9oUmW1yo/edit?usp=sharing"",""อุทัยธานี!J363"")"),2103)</f>
        <v>2103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IFERROR(__xludf.DUMMYFUNCTION("IMPORTRANGE(""https://docs.google.com/spreadsheets/d/11923uPwbBZFjjGgGUA6NLw09EwE0CqkOc4q9oUmW1yo/edit?usp=sharing"",""อุทัยธานี!I364"")"),0)</f>
        <v>0</v>
      </c>
      <c r="J469" s="188">
        <f ca="1">IFERROR(__xludf.DUMMYFUNCTION("IMPORTRANGE(""https://docs.google.com/spreadsheets/d/11923uPwbBZFjjGgGUA6NLw09EwE0CqkOc4q9oUmW1yo/edit?usp=sharing"",""อุทัยธานี!J364"")"),5310.4)</f>
        <v>5310.4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IFERROR(__xludf.DUMMYFUNCTION("IMPORTRANGE(""https://docs.google.com/spreadsheets/d/11923uPwbBZFjjGgGUA6NLw09EwE0CqkOc4q9oUmW1yo/edit?usp=sharing"",""อุทัยธานี!I365"")"),0)</f>
        <v>0</v>
      </c>
      <c r="J470" s="188">
        <f ca="1">IFERROR(__xludf.DUMMYFUNCTION("IMPORTRANGE(""https://docs.google.com/spreadsheets/d/11923uPwbBZFjjGgGUA6NLw09EwE0CqkOc4q9oUmW1yo/edit?usp=sharing"",""อุทัยธานี!J365"")"),368)</f>
        <v>368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IFERROR(__xludf.DUMMYFUNCTION("IMPORTRANGE(""https://docs.google.com/spreadsheets/d/11923uPwbBZFjjGgGUA6NLw09EwE0CqkOc4q9oUmW1yo/edit?usp=sharing"",""อุทัยธานี!I366"")"),0)</f>
        <v>0</v>
      </c>
      <c r="J471" s="188">
        <f ca="1">IFERROR(__xludf.DUMMYFUNCTION("IMPORTRANGE(""https://docs.google.com/spreadsheets/d/11923uPwbBZFjjGgGUA6NLw09EwE0CqkOc4q9oUmW1yo/edit?usp=sharing"",""อุทัยธานี!J366"")"),1200)</f>
        <v>1200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IFERROR(__xludf.DUMMYFUNCTION("IMPORTRANGE(""https://docs.google.com/spreadsheets/d/11923uPwbBZFjjGgGUA6NLw09EwE0CqkOc4q9oUmW1yo/edit?usp=sharing"",""อุทัยธานี!I367"")"),0)</f>
        <v>0</v>
      </c>
      <c r="J472" s="188">
        <f ca="1">IFERROR(__xludf.DUMMYFUNCTION("IMPORTRANGE(""https://docs.google.com/spreadsheets/d/11923uPwbBZFjjGgGUA6NLw09EwE0CqkOc4q9oUmW1yo/edit?usp=sharing"",""อุทัยธานี!J367"")"),129)</f>
        <v>129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IFERROR(__xludf.DUMMYFUNCTION("IMPORTRANGE(""https://docs.google.com/spreadsheets/d/11923uPwbBZFjjGgGUA6NLw09EwE0CqkOc4q9oUmW1yo/edit?usp=sharing"",""อุทัยธานี!I368"")"),24034)</f>
        <v>24034</v>
      </c>
      <c r="J473" s="420">
        <f ca="1">IFERROR(__xludf.DUMMYFUNCTION("IMPORTRANGE(""https://docs.google.com/spreadsheets/d/11923uPwbBZFjjGgGUA6NLw09EwE0CqkOc4q9oUmW1yo/edit?usp=sharing"",""อุทัยธานี!J368"")"),24037)</f>
        <v>24037</v>
      </c>
      <c r="K473" s="201">
        <f t="shared" ca="1" si="117"/>
        <v>100.01248231671798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IFERROR(__xludf.DUMMYFUNCTION("IMPORTRANGE(""https://docs.google.com/spreadsheets/d/11923uPwbBZFjjGgGUA6NLw09EwE0CqkOc4q9oUmW1yo/edit?usp=sharing"",""อุทัยธานี!I369"")"),2600)</f>
        <v>2600</v>
      </c>
      <c r="J474" s="420">
        <f ca="1">IFERROR(__xludf.DUMMYFUNCTION("IMPORTRANGE(""https://docs.google.com/spreadsheets/d/11923uPwbBZFjjGgGUA6NLw09EwE0CqkOc4q9oUmW1yo/edit?usp=sharing"",""อุทัยธานี!J369"")"),2600)</f>
        <v>2600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IFERROR(__xludf.DUMMYFUNCTION("IMPORTRANGE(""https://docs.google.com/spreadsheets/d/11923uPwbBZFjjGgGUA6NLw09EwE0CqkOc4q9oUmW1yo/edit?usp=sharing"",""อุทัยธานี!I370"")"),0)</f>
        <v>0</v>
      </c>
      <c r="J475" s="188">
        <f ca="1">IFERROR(__xludf.DUMMYFUNCTION("IMPORTRANGE(""https://docs.google.com/spreadsheets/d/11923uPwbBZFjjGgGUA6NLw09EwE0CqkOc4q9oUmW1yo/edit?usp=sharing"",""อุทัยธานี!J370"")"),17808)</f>
        <v>17808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IFERROR(__xludf.DUMMYFUNCTION("IMPORTRANGE(""https://docs.google.com/spreadsheets/d/11923uPwbBZFjjGgGUA6NLw09EwE0CqkOc4q9oUmW1yo/edit?usp=sharing"",""อุทัยธานี!I371"")"),0)</f>
        <v>0</v>
      </c>
      <c r="J476" s="188">
        <f ca="1">IFERROR(__xludf.DUMMYFUNCTION("IMPORTRANGE(""https://docs.google.com/spreadsheets/d/11923uPwbBZFjjGgGUA6NLw09EwE0CqkOc4q9oUmW1yo/edit?usp=sharing"",""อุทัยธานี!J371"")"),2124)</f>
        <v>2124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IFERROR(__xludf.DUMMYFUNCTION("IMPORTRANGE(""https://docs.google.com/spreadsheets/d/11923uPwbBZFjjGgGUA6NLw09EwE0CqkOc4q9oUmW1yo/edit?usp=sharing"",""อุทัยธานี!I372"")"),0)</f>
        <v>0</v>
      </c>
      <c r="J477" s="188">
        <f ca="1">IFERROR(__xludf.DUMMYFUNCTION("IMPORTRANGE(""https://docs.google.com/spreadsheets/d/11923uPwbBZFjjGgGUA6NLw09EwE0CqkOc4q9oUmW1yo/edit?usp=sharing"",""อุทัยธานี!J372"")"),5029)</f>
        <v>5029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IFERROR(__xludf.DUMMYFUNCTION("IMPORTRANGE(""https://docs.google.com/spreadsheets/d/11923uPwbBZFjjGgGUA6NLw09EwE0CqkOc4q9oUmW1yo/edit?usp=sharing"",""อุทัยธานี!I373"")"),0)</f>
        <v>0</v>
      </c>
      <c r="J478" s="188">
        <f ca="1">IFERROR(__xludf.DUMMYFUNCTION("IMPORTRANGE(""https://docs.google.com/spreadsheets/d/11923uPwbBZFjjGgGUA6NLw09EwE0CqkOc4q9oUmW1yo/edit?usp=sharing"",""อุทัยธานี!J373"")"),347)</f>
        <v>347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IFERROR(__xludf.DUMMYFUNCTION("IMPORTRANGE(""https://docs.google.com/spreadsheets/d/11923uPwbBZFjjGgGUA6NLw09EwE0CqkOc4q9oUmW1yo/edit?usp=sharing"",""อุทัยธานี!I374"")"),0)</f>
        <v>0</v>
      </c>
      <c r="J479" s="188">
        <f ca="1">IFERROR(__xludf.DUMMYFUNCTION("IMPORTRANGE(""https://docs.google.com/spreadsheets/d/11923uPwbBZFjjGgGUA6NLw09EwE0CqkOc4q9oUmW1yo/edit?usp=sharing"",""อุทัยธานี!J374"")"),1200)</f>
        <v>1200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IFERROR(__xludf.DUMMYFUNCTION("IMPORTRANGE(""https://docs.google.com/spreadsheets/d/11923uPwbBZFjjGgGUA6NLw09EwE0CqkOc4q9oUmW1yo/edit?usp=sharing"",""อุทัยธานี!I375"")"),0)</f>
        <v>0</v>
      </c>
      <c r="J480" s="188">
        <f ca="1">IFERROR(__xludf.DUMMYFUNCTION("IMPORTRANGE(""https://docs.google.com/spreadsheets/d/11923uPwbBZFjjGgGUA6NLw09EwE0CqkOc4q9oUmW1yo/edit?usp=sharing"",""อุทัยธานี!J375"")"),129)</f>
        <v>129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IFERROR(__xludf.DUMMYFUNCTION("IMPORTRANGE(""https://docs.google.com/spreadsheets/d/11923uPwbBZFjjGgGUA6NLw09EwE0CqkOc4q9oUmW1yo/edit?usp=sharing"",""อุทัยธานี!I376"")"),24034)</f>
        <v>24034</v>
      </c>
      <c r="J481" s="420">
        <f ca="1">IFERROR(__xludf.DUMMYFUNCTION("IMPORTRANGE(""https://docs.google.com/spreadsheets/d/11923uPwbBZFjjGgGUA6NLw09EwE0CqkOc4q9oUmW1yo/edit?usp=sharing"",""อุทัยธานี!J376"")"),24034)</f>
        <v>24034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IFERROR(__xludf.DUMMYFUNCTION("IMPORTRANGE(""https://docs.google.com/spreadsheets/d/11923uPwbBZFjjGgGUA6NLw09EwE0CqkOc4q9oUmW1yo/edit?usp=sharing"",""อุทัยธานี!I377"")"),2600)</f>
        <v>2600</v>
      </c>
      <c r="J482" s="420">
        <f ca="1">IFERROR(__xludf.DUMMYFUNCTION("IMPORTRANGE(""https://docs.google.com/spreadsheets/d/11923uPwbBZFjjGgGUA6NLw09EwE0CqkOc4q9oUmW1yo/edit?usp=sharing"",""อุทัยธานี!J377"")"),2600)</f>
        <v>2600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IFERROR(__xludf.DUMMYFUNCTION("IMPORTRANGE(""https://docs.google.com/spreadsheets/d/11923uPwbBZFjjGgGUA6NLw09EwE0CqkOc4q9oUmW1yo/edit?usp=sharing"",""อุทัยธานี!I378"")"),0)</f>
        <v>0</v>
      </c>
      <c r="J483" s="188">
        <f ca="1">IFERROR(__xludf.DUMMYFUNCTION("IMPORTRANGE(""https://docs.google.com/spreadsheets/d/11923uPwbBZFjjGgGUA6NLw09EwE0CqkOc4q9oUmW1yo/edit?usp=sharing"",""อุทัยธานี!J378"")"),17805)</f>
        <v>17805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IFERROR(__xludf.DUMMYFUNCTION("IMPORTRANGE(""https://docs.google.com/spreadsheets/d/11923uPwbBZFjjGgGUA6NLw09EwE0CqkOc4q9oUmW1yo/edit?usp=sharing"",""อุทัยธานี!I379"")"),0)</f>
        <v>0</v>
      </c>
      <c r="J484" s="188">
        <f ca="1">IFERROR(__xludf.DUMMYFUNCTION("IMPORTRANGE(""https://docs.google.com/spreadsheets/d/11923uPwbBZFjjGgGUA6NLw09EwE0CqkOc4q9oUmW1yo/edit?usp=sharing"",""อุทัยธานี!J379"")"),2124)</f>
        <v>2124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IFERROR(__xludf.DUMMYFUNCTION("IMPORTRANGE(""https://docs.google.com/spreadsheets/d/11923uPwbBZFjjGgGUA6NLw09EwE0CqkOc4q9oUmW1yo/edit?usp=sharing"",""อุทัยธานี!I380"")"),0)</f>
        <v>0</v>
      </c>
      <c r="J485" s="188">
        <f ca="1">IFERROR(__xludf.DUMMYFUNCTION("IMPORTRANGE(""https://docs.google.com/spreadsheets/d/11923uPwbBZFjjGgGUA6NLw09EwE0CqkOc4q9oUmW1yo/edit?usp=sharing"",""อุทัยธานี!J380"")"),5029)</f>
        <v>5029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IFERROR(__xludf.DUMMYFUNCTION("IMPORTRANGE(""https://docs.google.com/spreadsheets/d/11923uPwbBZFjjGgGUA6NLw09EwE0CqkOc4q9oUmW1yo/edit?usp=sharing"",""อุทัยธานี!I381"")"),0)</f>
        <v>0</v>
      </c>
      <c r="J486" s="188">
        <f ca="1">IFERROR(__xludf.DUMMYFUNCTION("IMPORTRANGE(""https://docs.google.com/spreadsheets/d/11923uPwbBZFjjGgGUA6NLw09EwE0CqkOc4q9oUmW1yo/edit?usp=sharing"",""อุทัยธานี!J381"")"),347)</f>
        <v>347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IFERROR(__xludf.DUMMYFUNCTION("IMPORTRANGE(""https://docs.google.com/spreadsheets/d/11923uPwbBZFjjGgGUA6NLw09EwE0CqkOc4q9oUmW1yo/edit?usp=sharing"",""อุทัยธานี!I382"")"),0)</f>
        <v>0</v>
      </c>
      <c r="J487" s="420">
        <f ca="1">IFERROR(__xludf.DUMMYFUNCTION("IMPORTRANGE(""https://docs.google.com/spreadsheets/d/11923uPwbBZFjjGgGUA6NLw09EwE0CqkOc4q9oUmW1yo/edit?usp=sharing"",""อุทัยธานี!J382"")"),1200)</f>
        <v>1200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IFERROR(__xludf.DUMMYFUNCTION("IMPORTRANGE(""https://docs.google.com/spreadsheets/d/11923uPwbBZFjjGgGUA6NLw09EwE0CqkOc4q9oUmW1yo/edit?usp=sharing"",""อุทัยธานี!I383"")"),0)</f>
        <v>0</v>
      </c>
      <c r="J488" s="420">
        <f ca="1">IFERROR(__xludf.DUMMYFUNCTION("IMPORTRANGE(""https://docs.google.com/spreadsheets/d/11923uPwbBZFjjGgGUA6NLw09EwE0CqkOc4q9oUmW1yo/edit?usp=sharing"",""อุทัยธานี!J383"")"),129)</f>
        <v>129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IFERROR(__xludf.DUMMYFUNCTION("IMPORTRANGE(""https://docs.google.com/spreadsheets/d/11923uPwbBZFjjGgGUA6NLw09EwE0CqkOc4q9oUmW1yo/edit?usp=sharing"",""อุทัยธานี!I384"")"),0)</f>
        <v>0</v>
      </c>
      <c r="J489" s="188">
        <f ca="1">IFERROR(__xludf.DUMMYFUNCTION("IMPORTRANGE(""https://docs.google.com/spreadsheets/d/11923uPwbBZFjjGgGUA6NLw09EwE0CqkOc4q9oUmW1yo/edit?usp=sharing"",""อุทัยธานี!J384"")"),1102)</f>
        <v>1102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IFERROR(__xludf.DUMMYFUNCTION("IMPORTRANGE(""https://docs.google.com/spreadsheets/d/11923uPwbBZFjjGgGUA6NLw09EwE0CqkOc4q9oUmW1yo/edit?usp=sharing"",""อุทัยธานี!I385"")"),0)</f>
        <v>0</v>
      </c>
      <c r="J490" s="188">
        <f ca="1">IFERROR(__xludf.DUMMYFUNCTION("IMPORTRANGE(""https://docs.google.com/spreadsheets/d/11923uPwbBZFjjGgGUA6NLw09EwE0CqkOc4q9oUmW1yo/edit?usp=sharing"",""อุทัยธานี!J385"")"),118)</f>
        <v>118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IFERROR(__xludf.DUMMYFUNCTION("IMPORTRANGE(""https://docs.google.com/spreadsheets/d/11923uPwbBZFjjGgGUA6NLw09EwE0CqkOc4q9oUmW1yo/edit?usp=sharing"",""อุทัยธานี!I386"")"),0)</f>
        <v>0</v>
      </c>
      <c r="J491" s="188">
        <f ca="1">IFERROR(__xludf.DUMMYFUNCTION("IMPORTRANGE(""https://docs.google.com/spreadsheets/d/11923uPwbBZFjjGgGUA6NLw09EwE0CqkOc4q9oUmW1yo/edit?usp=sharing"",""อุทัยธานี!J386"")"),98)</f>
        <v>98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IFERROR(__xludf.DUMMYFUNCTION("IMPORTRANGE(""https://docs.google.com/spreadsheets/d/11923uPwbBZFjjGgGUA6NLw09EwE0CqkOc4q9oUmW1yo/edit?usp=sharing"",""อุทัยธานี!I387"")"),0)</f>
        <v>0</v>
      </c>
      <c r="J492" s="188">
        <f ca="1">IFERROR(__xludf.DUMMYFUNCTION("IMPORTRANGE(""https://docs.google.com/spreadsheets/d/11923uPwbBZFjjGgGUA6NLw09EwE0CqkOc4q9oUmW1yo/edit?usp=sharing"",""อุทัยธานี!J387"")"),11)</f>
        <v>11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IFERROR(__xludf.DUMMYFUNCTION("IMPORTRANGE(""https://docs.google.com/spreadsheets/d/11923uPwbBZFjjGgGUA6NLw09EwE0CqkOc4q9oUmW1yo/edit?usp=sharing"",""อุทัยธานี!I388"")"),0)</f>
        <v>0</v>
      </c>
      <c r="J493" s="188">
        <f ca="1">IFERROR(__xludf.DUMMYFUNCTION("IMPORTRANGE(""https://docs.google.com/spreadsheets/d/11923uPwbBZFjjGgGUA6NLw09EwE0CqkOc4q9oUmW1yo/edit?usp=sharing"",""อุทัยธานี!J388"")"),0)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IFERROR(__xludf.DUMMYFUNCTION("IMPORTRANGE(""https://docs.google.com/spreadsheets/d/11923uPwbBZFjjGgGUA6NLw09EwE0CqkOc4q9oUmW1yo/edit?usp=sharing"",""อุทัยธานี!I389"")"),0)</f>
        <v>0</v>
      </c>
      <c r="J494" s="436">
        <f ca="1">IFERROR(__xludf.DUMMYFUNCTION("IMPORTRANGE(""https://docs.google.com/spreadsheets/d/11923uPwbBZFjjGgGUA6NLw09EwE0CqkOc4q9oUmW1yo/edit?usp=sharing"",""อุทัยธานี!J389"")"),0)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IFERROR(__xludf.DUMMYFUNCTION("IMPORTRANGE(""https://docs.google.com/spreadsheets/d/11923uPwbBZFjjGgGUA6NLw09EwE0CqkOc4q9oUmW1yo/edit?usp=sharing"",""อุทัยธานี!I390"")"),0)</f>
        <v>0</v>
      </c>
      <c r="J495" s="436">
        <f ca="1">IFERROR(__xludf.DUMMYFUNCTION("IMPORTRANGE(""https://docs.google.com/spreadsheets/d/11923uPwbBZFjjGgGUA6NLw09EwE0CqkOc4q9oUmW1yo/edit?usp=sharing"",""อุทัยธานี!J390"")"),0)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IFERROR(__xludf.DUMMYFUNCTION("IMPORTRANGE(""https://docs.google.com/spreadsheets/d/11923uPwbBZFjjGgGUA6NLw09EwE0CqkOc4q9oUmW1yo/edit?usp=sharing"",""อุทัยธานี!I391"")"),0)</f>
        <v>0</v>
      </c>
      <c r="J496" s="436">
        <f ca="1">IFERROR(__xludf.DUMMYFUNCTION("IMPORTRANGE(""https://docs.google.com/spreadsheets/d/11923uPwbBZFjjGgGUA6NLw09EwE0CqkOc4q9oUmW1yo/edit?usp=sharing"",""อุทัยธานี!J391"")"),0)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IFERROR(__xludf.DUMMYFUNCTION("IMPORTRANGE(""https://docs.google.com/spreadsheets/d/11923uPwbBZFjjGgGUA6NLw09EwE0CqkOc4q9oUmW1yo/edit?usp=sharing"",""อุทัยธานี!I392"")"),7373)</f>
        <v>7373</v>
      </c>
      <c r="J497" s="443">
        <f ca="1">IFERROR(__xludf.DUMMYFUNCTION("IMPORTRANGE(""https://docs.google.com/spreadsheets/d/11923uPwbBZFjjGgGUA6NLw09EwE0CqkOc4q9oUmW1yo/edit?usp=sharing"",""อุทัยธานี!J392"")"),339.8)</f>
        <v>339.8</v>
      </c>
      <c r="K497" s="444">
        <f t="shared" ca="1" si="117"/>
        <v>4.6087074460870747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IFERROR(__xludf.DUMMYFUNCTION("IMPORTRANGE(""https://docs.google.com/spreadsheets/d/11923uPwbBZFjjGgGUA6NLw09EwE0CqkOc4q9oUmW1yo/edit?usp=sharing"",""อุทัยธานี!I393"")"),7373)</f>
        <v>7373</v>
      </c>
      <c r="J498" s="420">
        <f ca="1">IFERROR(__xludf.DUMMYFUNCTION("IMPORTRANGE(""https://docs.google.com/spreadsheets/d/11923uPwbBZFjjGgGUA6NLw09EwE0CqkOc4q9oUmW1yo/edit?usp=sharing"",""อุทัยธานี!J393"")"),339.8)</f>
        <v>339.8</v>
      </c>
      <c r="K498" s="163">
        <f t="shared" ca="1" si="117"/>
        <v>4.6087074460870747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IFERROR(__xludf.DUMMYFUNCTION("IMPORTRANGE(""https://docs.google.com/spreadsheets/d/11923uPwbBZFjjGgGUA6NLw09EwE0CqkOc4q9oUmW1yo/edit?usp=sharing"",""อุทัยธานี!I394"")"),412)</f>
        <v>412</v>
      </c>
      <c r="J499" s="420">
        <f ca="1">IFERROR(__xludf.DUMMYFUNCTION("IMPORTRANGE(""https://docs.google.com/spreadsheets/d/11923uPwbBZFjjGgGUA6NLw09EwE0CqkOc4q9oUmW1yo/edit?usp=sharing"",""อุทัยธานี!J394"")"),22)</f>
        <v>22</v>
      </c>
      <c r="K499" s="201">
        <f t="shared" ca="1" si="117"/>
        <v>5.3398058252427187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IFERROR(__xludf.DUMMYFUNCTION("IMPORTRANGE(""https://docs.google.com/spreadsheets/d/11923uPwbBZFjjGgGUA6NLw09EwE0CqkOc4q9oUmW1yo/edit?usp=sharing"",""อุทัยธานี!I395"")"),0)</f>
        <v>0</v>
      </c>
      <c r="J500" s="162">
        <f ca="1">IFERROR(__xludf.DUMMYFUNCTION("IMPORTRANGE(""https://docs.google.com/spreadsheets/d/11923uPwbBZFjjGgGUA6NLw09EwE0CqkOc4q9oUmW1yo/edit?usp=sharing"",""อุทัยธานี!J395"")"),339.8)</f>
        <v>339.8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IFERROR(__xludf.DUMMYFUNCTION("IMPORTRANGE(""https://docs.google.com/spreadsheets/d/11923uPwbBZFjjGgGUA6NLw09EwE0CqkOc4q9oUmW1yo/edit?usp=sharing"",""อุทัยธานี!I396"")"),0)</f>
        <v>0</v>
      </c>
      <c r="J501" s="162">
        <f ca="1">IFERROR(__xludf.DUMMYFUNCTION("IMPORTRANGE(""https://docs.google.com/spreadsheets/d/11923uPwbBZFjjGgGUA6NLw09EwE0CqkOc4q9oUmW1yo/edit?usp=sharing"",""อุทัยธานี!J396"")"),22)</f>
        <v>22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IFERROR(__xludf.DUMMYFUNCTION("IMPORTRANGE(""https://docs.google.com/spreadsheets/d/11923uPwbBZFjjGgGUA6NLw09EwE0CqkOc4q9oUmW1yo/edit?usp=sharing"",""อุทัยธานี!I397"")"),0)</f>
        <v>0</v>
      </c>
      <c r="J502" s="188">
        <f ca="1">IFERROR(__xludf.DUMMYFUNCTION("IMPORTRANGE(""https://docs.google.com/spreadsheets/d/11923uPwbBZFjjGgGUA6NLw09EwE0CqkOc4q9oUmW1yo/edit?usp=sharing"",""อุทัยธานี!J397"")"),313.8)</f>
        <v>313.8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IFERROR(__xludf.DUMMYFUNCTION("IMPORTRANGE(""https://docs.google.com/spreadsheets/d/11923uPwbBZFjjGgGUA6NLw09EwE0CqkOc4q9oUmW1yo/edit?usp=sharing"",""อุทัยธานี!I398"")"),0)</f>
        <v>0</v>
      </c>
      <c r="J503" s="197">
        <f ca="1">IFERROR(__xludf.DUMMYFUNCTION("IMPORTRANGE(""https://docs.google.com/spreadsheets/d/11923uPwbBZFjjGgGUA6NLw09EwE0CqkOc4q9oUmW1yo/edit?usp=sharing"",""อุทัยธานี!J398"")"),21)</f>
        <v>21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IFERROR(__xludf.DUMMYFUNCTION("IMPORTRANGE(""https://docs.google.com/spreadsheets/d/11923uPwbBZFjjGgGUA6NLw09EwE0CqkOc4q9oUmW1yo/edit?usp=sharing"",""อุทัยธานี!I399"")"),0)</f>
        <v>0</v>
      </c>
      <c r="J504" s="188">
        <f ca="1">IFERROR(__xludf.DUMMYFUNCTION("IMPORTRANGE(""https://docs.google.com/spreadsheets/d/11923uPwbBZFjjGgGUA6NLw09EwE0CqkOc4q9oUmW1yo/edit?usp=sharing"",""อุทัยธานี!J399"")"),0)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IFERROR(__xludf.DUMMYFUNCTION("IMPORTRANGE(""https://docs.google.com/spreadsheets/d/11923uPwbBZFjjGgGUA6NLw09EwE0CqkOc4q9oUmW1yo/edit?usp=sharing"",""อุทัยธานี!I400"")"),0)</f>
        <v>0</v>
      </c>
      <c r="J505" s="197">
        <f ca="1">IFERROR(__xludf.DUMMYFUNCTION("IMPORTRANGE(""https://docs.google.com/spreadsheets/d/11923uPwbBZFjjGgGUA6NLw09EwE0CqkOc4q9oUmW1yo/edit?usp=sharing"",""อุทัยธานี!J400"")"),0)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IFERROR(__xludf.DUMMYFUNCTION("IMPORTRANGE(""https://docs.google.com/spreadsheets/d/11923uPwbBZFjjGgGUA6NLw09EwE0CqkOc4q9oUmW1yo/edit?usp=sharing"",""อุทัยธานี!I401"")"),0)</f>
        <v>0</v>
      </c>
      <c r="J506" s="188">
        <f ca="1">IFERROR(__xludf.DUMMYFUNCTION("IMPORTRANGE(""https://docs.google.com/spreadsheets/d/11923uPwbBZFjjGgGUA6NLw09EwE0CqkOc4q9oUmW1yo/edit?usp=sharing"",""อุทัยธานี!J401"")"),26)</f>
        <v>26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IFERROR(__xludf.DUMMYFUNCTION("IMPORTRANGE(""https://docs.google.com/spreadsheets/d/11923uPwbBZFjjGgGUA6NLw09EwE0CqkOc4q9oUmW1yo/edit?usp=sharing"",""อุทัยธานี!I402"")"),0)</f>
        <v>0</v>
      </c>
      <c r="J507" s="197">
        <f ca="1">IFERROR(__xludf.DUMMYFUNCTION("IMPORTRANGE(""https://docs.google.com/spreadsheets/d/11923uPwbBZFjjGgGUA6NLw09EwE0CqkOc4q9oUmW1yo/edit?usp=sharing"",""อุทัยธานี!J402"")"),1)</f>
        <v>1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IFERROR(__xludf.DUMMYFUNCTION("IMPORTRANGE(""https://docs.google.com/spreadsheets/d/11923uPwbBZFjjGgGUA6NLw09EwE0CqkOc4q9oUmW1yo/edit?usp=sharing"",""อุทัยธานี!I403"")"),0)</f>
        <v>0</v>
      </c>
      <c r="J508" s="162">
        <f ca="1">IFERROR(__xludf.DUMMYFUNCTION("IMPORTRANGE(""https://docs.google.com/spreadsheets/d/11923uPwbBZFjjGgGUA6NLw09EwE0CqkOc4q9oUmW1yo/edit?usp=sharing"",""อุทัยธานี!J403"")"),0)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IFERROR(__xludf.DUMMYFUNCTION("IMPORTRANGE(""https://docs.google.com/spreadsheets/d/11923uPwbBZFjjGgGUA6NLw09EwE0CqkOc4q9oUmW1yo/edit?usp=sharing"",""อุทัยธานี!I404"")"),0)</f>
        <v>0</v>
      </c>
      <c r="J509" s="162">
        <f ca="1">IFERROR(__xludf.DUMMYFUNCTION("IMPORTRANGE(""https://docs.google.com/spreadsheets/d/11923uPwbBZFjjGgGUA6NLw09EwE0CqkOc4q9oUmW1yo/edit?usp=sharing"",""อุทัยธานี!J404"")"),0)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IFERROR(__xludf.DUMMYFUNCTION("IMPORTRANGE(""https://docs.google.com/spreadsheets/d/11923uPwbBZFjjGgGUA6NLw09EwE0CqkOc4q9oUmW1yo/edit?usp=sharing"",""อุทัยธานี!I405"")"),0)</f>
        <v>0</v>
      </c>
      <c r="J510" s="197">
        <f ca="1">IFERROR(__xludf.DUMMYFUNCTION("IMPORTRANGE(""https://docs.google.com/spreadsheets/d/11923uPwbBZFjjGgGUA6NLw09EwE0CqkOc4q9oUmW1yo/edit?usp=sharing"",""อุทัยธานี!J405"")"),0)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IFERROR(__xludf.DUMMYFUNCTION("IMPORTRANGE(""https://docs.google.com/spreadsheets/d/11923uPwbBZFjjGgGUA6NLw09EwE0CqkOc4q9oUmW1yo/edit?usp=sharing"",""อุทัยธานี!I406"")"),0)</f>
        <v>0</v>
      </c>
      <c r="J511" s="197">
        <f ca="1">IFERROR(__xludf.DUMMYFUNCTION("IMPORTRANGE(""https://docs.google.com/spreadsheets/d/11923uPwbBZFjjGgGUA6NLw09EwE0CqkOc4q9oUmW1yo/edit?usp=sharing"",""อุทัยธานี!J406"")"),0)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IFERROR(__xludf.DUMMYFUNCTION("IMPORTRANGE(""https://docs.google.com/spreadsheets/d/11923uPwbBZFjjGgGUA6NLw09EwE0CqkOc4q9oUmW1yo/edit?usp=sharing"",""อุทัยธานี!I407"")"),0)</f>
        <v>0</v>
      </c>
      <c r="J512" s="197">
        <f ca="1">IFERROR(__xludf.DUMMYFUNCTION("IMPORTRANGE(""https://docs.google.com/spreadsheets/d/11923uPwbBZFjjGgGUA6NLw09EwE0CqkOc4q9oUmW1yo/edit?usp=sharing"",""อุทัยธานี!J407"")"),0)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IFERROR(__xludf.DUMMYFUNCTION("IMPORTRANGE(""https://docs.google.com/spreadsheets/d/11923uPwbBZFjjGgGUA6NLw09EwE0CqkOc4q9oUmW1yo/edit?usp=sharing"",""อุทัยธานี!I408"")"),0)</f>
        <v>0</v>
      </c>
      <c r="J513" s="197">
        <f ca="1">IFERROR(__xludf.DUMMYFUNCTION("IMPORTRANGE(""https://docs.google.com/spreadsheets/d/11923uPwbBZFjjGgGUA6NLw09EwE0CqkOc4q9oUmW1yo/edit?usp=sharing"",""อุทัยธานี!J408"")"),0)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IFERROR(__xludf.DUMMYFUNCTION("IMPORTRANGE(""https://docs.google.com/spreadsheets/d/11923uPwbBZFjjGgGUA6NLw09EwE0CqkOc4q9oUmW1yo/edit?usp=sharing"",""อุทัยธานี!I409"")"),0)</f>
        <v>0</v>
      </c>
      <c r="J514" s="197">
        <f ca="1">IFERROR(__xludf.DUMMYFUNCTION("IMPORTRANGE(""https://docs.google.com/spreadsheets/d/11923uPwbBZFjjGgGUA6NLw09EwE0CqkOc4q9oUmW1yo/edit?usp=sharing"",""อุทัยธานี!J409"")"),0)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IFERROR(__xludf.DUMMYFUNCTION("IMPORTRANGE(""https://docs.google.com/spreadsheets/d/11923uPwbBZFjjGgGUA6NLw09EwE0CqkOc4q9oUmW1yo/edit?usp=sharing"",""อุทัยธานี!I410"")"),0)</f>
        <v>0</v>
      </c>
      <c r="J515" s="197">
        <f ca="1">IFERROR(__xludf.DUMMYFUNCTION("IMPORTRANGE(""https://docs.google.com/spreadsheets/d/11923uPwbBZFjjGgGUA6NLw09EwE0CqkOc4q9oUmW1yo/edit?usp=sharing"",""อุทัยธานี!J410"")"),0)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IFERROR(__xludf.DUMMYFUNCTION("IMPORTRANGE(""https://docs.google.com/spreadsheets/d/11923uPwbBZFjjGgGUA6NLw09EwE0CqkOc4q9oUmW1yo/edit?usp=sharing"",""อุทัยธานี!I411"")"),0)</f>
        <v>0</v>
      </c>
      <c r="J516" s="267">
        <f ca="1">IFERROR(__xludf.DUMMYFUNCTION("IMPORTRANGE(""https://docs.google.com/spreadsheets/d/11923uPwbBZFjjGgGUA6NLw09EwE0CqkOc4q9oUmW1yo/edit?usp=sharing"",""อุทัยธานี!J411"")"),0)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IFERROR(__xludf.DUMMYFUNCTION("IMPORTRANGE(""https://docs.google.com/spreadsheets/d/11923uPwbBZFjjGgGUA6NLw09EwE0CqkOc4q9oUmW1yo/edit?usp=sharing"",""อุทัยธานี!I412"")"),0)</f>
        <v>0</v>
      </c>
      <c r="J517" s="284">
        <f ca="1">IFERROR(__xludf.DUMMYFUNCTION("IMPORTRANGE(""https://docs.google.com/spreadsheets/d/11923uPwbBZFjjGgGUA6NLw09EwE0CqkOc4q9oUmW1yo/edit?usp=sharing"",""อุทัยธานี!J412"")"),0)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IFERROR(__xludf.DUMMYFUNCTION("IMPORTRANGE(""https://docs.google.com/spreadsheets/d/11923uPwbBZFjjGgGUA6NLw09EwE0CqkOc4q9oUmW1yo/edit?usp=sharing"",""อุทัยธานี!I413"")"),0)</f>
        <v>0</v>
      </c>
      <c r="J518" s="284">
        <f ca="1">IFERROR(__xludf.DUMMYFUNCTION("IMPORTRANGE(""https://docs.google.com/spreadsheets/d/11923uPwbBZFjjGgGUA6NLw09EwE0CqkOc4q9oUmW1yo/edit?usp=sharing"",""อุทัยธานี!J413"")"),0)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IFERROR(__xludf.DUMMYFUNCTION("IMPORTRANGE(""https://docs.google.com/spreadsheets/d/11923uPwbBZFjjGgGUA6NLw09EwE0CqkOc4q9oUmW1yo/edit?usp=sharing"",""อุทัยธานี!I414"")"),0)</f>
        <v>0</v>
      </c>
      <c r="J519" s="187">
        <f ca="1">IFERROR(__xludf.DUMMYFUNCTION("IMPORTRANGE(""https://docs.google.com/spreadsheets/d/11923uPwbBZFjjGgGUA6NLw09EwE0CqkOc4q9oUmW1yo/edit?usp=sharing"",""อุทัยธานี!J414"")"),0)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IFERROR(__xludf.DUMMYFUNCTION("IMPORTRANGE(""https://docs.google.com/spreadsheets/d/11923uPwbBZFjjGgGUA6NLw09EwE0CqkOc4q9oUmW1yo/edit?usp=sharing"",""อุทัยธานี!I415"")"),0)</f>
        <v>0</v>
      </c>
      <c r="J520" s="187">
        <f ca="1">IFERROR(__xludf.DUMMYFUNCTION("IMPORTRANGE(""https://docs.google.com/spreadsheets/d/11923uPwbBZFjjGgGUA6NLw09EwE0CqkOc4q9oUmW1yo/edit?usp=sharing"",""อุทัยธานี!J415"")"),0)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IFERROR(__xludf.DUMMYFUNCTION("IMPORTRANGE(""https://docs.google.com/spreadsheets/d/11923uPwbBZFjjGgGUA6NLw09EwE0CqkOc4q9oUmW1yo/edit?usp=sharing"",""อุทัยธานี!I416"")"),0)</f>
        <v>0</v>
      </c>
      <c r="J521" s="187">
        <f ca="1">IFERROR(__xludf.DUMMYFUNCTION("IMPORTRANGE(""https://docs.google.com/spreadsheets/d/11923uPwbBZFjjGgGUA6NLw09EwE0CqkOc4q9oUmW1yo/edit?usp=sharing"",""อุทัยธานี!J416"")"),0)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IFERROR(__xludf.DUMMYFUNCTION("IMPORTRANGE(""https://docs.google.com/spreadsheets/d/11923uPwbBZFjjGgGUA6NLw09EwE0CqkOc4q9oUmW1yo/edit?usp=sharing"",""อุทัยธานี!I417"")"),0)</f>
        <v>0</v>
      </c>
      <c r="J522" s="187">
        <f ca="1">IFERROR(__xludf.DUMMYFUNCTION("IMPORTRANGE(""https://docs.google.com/spreadsheets/d/11923uPwbBZFjjGgGUA6NLw09EwE0CqkOc4q9oUmW1yo/edit?usp=sharing"",""อุทัยธานี!J417"")"),0)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IFERROR(__xludf.DUMMYFUNCTION("IMPORTRANGE(""https://docs.google.com/spreadsheets/d/11923uPwbBZFjjGgGUA6NLw09EwE0CqkOc4q9oUmW1yo/edit?usp=sharing"",""อุทัยธานี!I418"")"),0)</f>
        <v>0</v>
      </c>
      <c r="J523" s="187">
        <f ca="1">IFERROR(__xludf.DUMMYFUNCTION("IMPORTRANGE(""https://docs.google.com/spreadsheets/d/11923uPwbBZFjjGgGUA6NLw09EwE0CqkOc4q9oUmW1yo/edit?usp=sharing"",""อุทัยธานี!J418"")"),843)</f>
        <v>843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IFERROR(__xludf.DUMMYFUNCTION("IMPORTRANGE(""https://docs.google.com/spreadsheets/d/11923uPwbBZFjjGgGUA6NLw09EwE0CqkOc4q9oUmW1yo/edit?usp=sharing"",""อุทัยธานี!I419"")"),0)</f>
        <v>0</v>
      </c>
      <c r="J524" s="187">
        <f ca="1">IFERROR(__xludf.DUMMYFUNCTION("IMPORTRANGE(""https://docs.google.com/spreadsheets/d/11923uPwbBZFjjGgGUA6NLw09EwE0CqkOc4q9oUmW1yo/edit?usp=sharing"",""อุทัยธานี!J419"")"),80)</f>
        <v>80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IFERROR(__xludf.DUMMYFUNCTION("IMPORTRANGE(""https://docs.google.com/spreadsheets/d/11923uPwbBZFjjGgGUA6NLw09EwE0CqkOc4q9oUmW1yo/edit?usp=sharing"",""อุทัยธานี!I420"")"),843)</f>
        <v>843</v>
      </c>
      <c r="J525" s="284">
        <f ca="1">IFERROR(__xludf.DUMMYFUNCTION("IMPORTRANGE(""https://docs.google.com/spreadsheets/d/11923uPwbBZFjjGgGUA6NLw09EwE0CqkOc4q9oUmW1yo/edit?usp=sharing"",""อุทัยธานี!J420"")"),828)</f>
        <v>828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IFERROR(__xludf.DUMMYFUNCTION("IMPORTRANGE(""https://docs.google.com/spreadsheets/d/11923uPwbBZFjjGgGUA6NLw09EwE0CqkOc4q9oUmW1yo/edit?usp=sharing"",""อุทัยธานี!I421"")"),80)</f>
        <v>80</v>
      </c>
      <c r="J526" s="284">
        <f ca="1">IFERROR(__xludf.DUMMYFUNCTION("IMPORTRANGE(""https://docs.google.com/spreadsheets/d/11923uPwbBZFjjGgGUA6NLw09EwE0CqkOc4q9oUmW1yo/edit?usp=sharing"",""อุทัยธานี!J421"")"),56)</f>
        <v>56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IFERROR(__xludf.DUMMYFUNCTION("IMPORTRANGE(""https://docs.google.com/spreadsheets/d/11923uPwbBZFjjGgGUA6NLw09EwE0CqkOc4q9oUmW1yo/edit?usp=sharing"",""อุทัยธานี!I422"")"),0)</f>
        <v>0</v>
      </c>
      <c r="J527" s="197">
        <f ca="1">IFERROR(__xludf.DUMMYFUNCTION("IMPORTRANGE(""https://docs.google.com/spreadsheets/d/11923uPwbBZFjjGgGUA6NLw09EwE0CqkOc4q9oUmW1yo/edit?usp=sharing"",""อุทัยธานี!J422"")"),137)</f>
        <v>137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IFERROR(__xludf.DUMMYFUNCTION("IMPORTRANGE(""https://docs.google.com/spreadsheets/d/11923uPwbBZFjjGgGUA6NLw09EwE0CqkOc4q9oUmW1yo/edit?usp=sharing"",""อุทัยธานี!I423"")"),0)</f>
        <v>0</v>
      </c>
      <c r="J528" s="197">
        <f ca="1">IFERROR(__xludf.DUMMYFUNCTION("IMPORTRANGE(""https://docs.google.com/spreadsheets/d/11923uPwbBZFjjGgGUA6NLw09EwE0CqkOc4q9oUmW1yo/edit?usp=sharing"",""อุทัยธานี!J423"")"),12)</f>
        <v>12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IFERROR(__xludf.DUMMYFUNCTION("IMPORTRANGE(""https://docs.google.com/spreadsheets/d/11923uPwbBZFjjGgGUA6NLw09EwE0CqkOc4q9oUmW1yo/edit?usp=sharing"",""อุทัยธานี!I424"")"),0)</f>
        <v>0</v>
      </c>
      <c r="J529" s="197">
        <f ca="1">IFERROR(__xludf.DUMMYFUNCTION("IMPORTRANGE(""https://docs.google.com/spreadsheets/d/11923uPwbBZFjjGgGUA6NLw09EwE0CqkOc4q9oUmW1yo/edit?usp=sharing"",""อุทัยธานี!J424"")"),691)</f>
        <v>691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IFERROR(__xludf.DUMMYFUNCTION("IMPORTRANGE(""https://docs.google.com/spreadsheets/d/11923uPwbBZFjjGgGUA6NLw09EwE0CqkOc4q9oUmW1yo/edit?usp=sharing"",""อุทัยธานี!I425"")"),0)</f>
        <v>0</v>
      </c>
      <c r="J530" s="197">
        <f ca="1">IFERROR(__xludf.DUMMYFUNCTION("IMPORTRANGE(""https://docs.google.com/spreadsheets/d/11923uPwbBZFjjGgGUA6NLw09EwE0CqkOc4q9oUmW1yo/edit?usp=sharing"",""อุทัยธานี!J425"")"),44)</f>
        <v>44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IFERROR(__xludf.DUMMYFUNCTION("IMPORTRANGE(""https://docs.google.com/spreadsheets/d/11923uPwbBZFjjGgGUA6NLw09EwE0CqkOc4q9oUmW1yo/edit?usp=sharing"",""อุทัยธานี!I426"")"),0)</f>
        <v>0</v>
      </c>
      <c r="J531" s="197">
        <f ca="1">IFERROR(__xludf.DUMMYFUNCTION("IMPORTRANGE(""https://docs.google.com/spreadsheets/d/11923uPwbBZFjjGgGUA6NLw09EwE0CqkOc4q9oUmW1yo/edit?usp=sharing"",""อุทัยธานี!J426"")"),0)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IFERROR(__xludf.DUMMYFUNCTION("IMPORTRANGE(""https://docs.google.com/spreadsheets/d/11923uPwbBZFjjGgGUA6NLw09EwE0CqkOc4q9oUmW1yo/edit?usp=sharing"",""อุทัยธานี!I427"")"),0)</f>
        <v>0</v>
      </c>
      <c r="J532" s="466">
        <f ca="1">IFERROR(__xludf.DUMMYFUNCTION("IMPORTRANGE(""https://docs.google.com/spreadsheets/d/11923uPwbBZFjjGgGUA6NLw09EwE0CqkOc4q9oUmW1yo/edit?usp=sharing"",""อุทัยธานี!J427"")"),0)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IFERROR(__xludf.DUMMYFUNCTION("IMPORTRANGE(""https://docs.google.com/spreadsheets/d/11923uPwbBZFjjGgGUA6NLw09EwE0CqkOc4q9oUmW1yo/edit?usp=sharing"",""อุทัยธานี!I428"")"),24)</f>
        <v>24</v>
      </c>
      <c r="J533" s="409">
        <f ca="1">IFERROR(__xludf.DUMMYFUNCTION("IMPORTRANGE(""https://docs.google.com/spreadsheets/d/11923uPwbBZFjjGgGUA6NLw09EwE0CqkOc4q9oUmW1yo/edit?usp=sharing"",""อุทัยธานี!J428"")"),24)</f>
        <v>24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IFERROR(__xludf.DUMMYFUNCTION("IMPORTRANGE(""https://docs.google.com/spreadsheets/d/11923uPwbBZFjjGgGUA6NLw09EwE0CqkOc4q9oUmW1yo/edit?usp=sharing"",""อุทัยธานี!L428"")"),36040)</f>
        <v>36040</v>
      </c>
      <c r="M533" s="411"/>
      <c r="N533" s="411">
        <f ca="1">IFERROR(__xludf.DUMMYFUNCTION("IMPORTRANGE(""https://docs.google.com/spreadsheets/d/11923uPwbBZFjjGgGUA6NLw09EwE0CqkOc4q9oUmW1yo/edit?usp=sharing"",""อุทัยธานี!M428"")"),30290)</f>
        <v>30290</v>
      </c>
      <c r="O533" s="411">
        <f t="shared" ref="O533:O537" ca="1" si="118">+IF(L533&gt;0,N533*100/L533,0)</f>
        <v>84.04550499445061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IFERROR(__xludf.DUMMYFUNCTION("IMPORTRANGE(""https://docs.google.com/spreadsheets/d/11923uPwbBZFjjGgGUA6NLw09EwE0CqkOc4q9oUmW1yo/edit?usp=sharing"",""อุทัยธานี!L429"")"),0)</f>
        <v>0</v>
      </c>
      <c r="M534" s="164"/>
      <c r="N534" s="168">
        <f ca="1">IFERROR(__xludf.DUMMYFUNCTION("IMPORTRANGE(""https://docs.google.com/spreadsheets/d/11923uPwbBZFjjGgGUA6NLw09EwE0CqkOc4q9oUmW1yo/edit?usp=sharing"",""อุทัยธานี!M429"")"),0)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IFERROR(__xludf.DUMMYFUNCTION("IMPORTRANGE(""https://docs.google.com/spreadsheets/d/11923uPwbBZFjjGgGUA6NLw09EwE0CqkOc4q9oUmW1yo/edit?usp=sharing"",""อุทัยธานี!L430"")"),36040)</f>
        <v>36040</v>
      </c>
      <c r="M535" s="165"/>
      <c r="N535" s="168">
        <f ca="1">IFERROR(__xludf.DUMMYFUNCTION("IMPORTRANGE(""https://docs.google.com/spreadsheets/d/11923uPwbBZFjjGgGUA6NLw09EwE0CqkOc4q9oUmW1yo/edit?usp=sharing"",""อุทัยธานี!M430"")"),30290)</f>
        <v>30290</v>
      </c>
      <c r="O535" s="168">
        <f t="shared" ca="1" si="118"/>
        <v>84.04550499445061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IFERROR(__xludf.DUMMYFUNCTION("IMPORTRANGE(""https://docs.google.com/spreadsheets/d/11923uPwbBZFjjGgGUA6NLw09EwE0CqkOc4q9oUmW1yo/edit?usp=sharing"",""อุทัยธานี!L431"")"),0)</f>
        <v>0</v>
      </c>
      <c r="M536" s="168"/>
      <c r="N536" s="168">
        <f ca="1">IFERROR(__xludf.DUMMYFUNCTION("IMPORTRANGE(""https://docs.google.com/spreadsheets/d/11923uPwbBZFjjGgGUA6NLw09EwE0CqkOc4q9oUmW1yo/edit?usp=sharing"",""อุทัยธานี!M431"")"),0)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IFERROR(__xludf.DUMMYFUNCTION("IMPORTRANGE(""https://docs.google.com/spreadsheets/d/11923uPwbBZFjjGgGUA6NLw09EwE0CqkOc4q9oUmW1yo/edit?usp=sharing"",""อุทัยธานี!L432"")"),36040)</f>
        <v>36040</v>
      </c>
      <c r="M537" s="168"/>
      <c r="N537" s="168">
        <f ca="1">IFERROR(__xludf.DUMMYFUNCTION("IMPORTRANGE(""https://docs.google.com/spreadsheets/d/11923uPwbBZFjjGgGUA6NLw09EwE0CqkOc4q9oUmW1yo/edit?usp=sharing"",""อุทัยธานี!M432"")"),30290)</f>
        <v>30290</v>
      </c>
      <c r="O537" s="168">
        <f t="shared" ca="1" si="118"/>
        <v>84.04550499445061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IFERROR(__xludf.DUMMYFUNCTION("IMPORTRANGE(""https://docs.google.com/spreadsheets/d/11923uPwbBZFjjGgGUA6NLw09EwE0CqkOc4q9oUmW1yo/edit?usp=sharing"",""อุทัยธานี!M433"")"),20440)</f>
        <v>20440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IFERROR(__xludf.DUMMYFUNCTION("IMPORTRANGE(""https://docs.google.com/spreadsheets/d/11923uPwbBZFjjGgGUA6NLw09EwE0CqkOc4q9oUmW1yo/edit?usp=sharing"",""อุทัยธานี!M434"")"),0)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IFERROR(__xludf.DUMMYFUNCTION("IMPORTRANGE(""https://docs.google.com/spreadsheets/d/11923uPwbBZFjjGgGUA6NLw09EwE0CqkOc4q9oUmW1yo/edit?usp=sharing"",""อุทัยธานี!M435"")"),0)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IFERROR(__xludf.DUMMYFUNCTION("IMPORTRANGE(""https://docs.google.com/spreadsheets/d/11923uPwbBZFjjGgGUA6NLw09EwE0CqkOc4q9oUmW1yo/edit?usp=sharing"",""อุทัยธานี!M436"")"),9850)</f>
        <v>9850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IFERROR(__xludf.DUMMYFUNCTION("IMPORTRANGE(""https://docs.google.com/spreadsheets/d/11923uPwbBZFjjGgGUA6NLw09EwE0CqkOc4q9oUmW1yo/edit?usp=sharing"",""อุทัยธานี!J438"")"),0)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IFERROR(__xludf.DUMMYFUNCTION("IMPORTRANGE(""https://docs.google.com/spreadsheets/d/11923uPwbBZFjjGgGUA6NLw09EwE0CqkOc4q9oUmW1yo/edit?usp=sharing"",""อุทัยธานี!J439"")"),1)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IFERROR(__xludf.DUMMYFUNCTION("IMPORTRANGE(""https://docs.google.com/spreadsheets/d/11923uPwbBZFjjGgGUA6NLw09EwE0CqkOc4q9oUmW1yo/edit?usp=sharing"",""อุทัยธานี!J440"")"),1)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IFERROR(__xludf.DUMMYFUNCTION("IMPORTRANGE(""https://docs.google.com/spreadsheets/d/11923uPwbBZFjjGgGUA6NLw09EwE0CqkOc4q9oUmW1yo/edit?usp=sharing"",""อุทัยธานี!J441"")"),1)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IFERROR(__xludf.DUMMYFUNCTION("IMPORTRANGE(""https://docs.google.com/spreadsheets/d/11923uPwbBZFjjGgGUA6NLw09EwE0CqkOc4q9oUmW1yo/edit?usp=sharing"",""อุทัยธานี!I442"")"),24)</f>
        <v>24</v>
      </c>
      <c r="J547" s="188">
        <f ca="1">IFERROR(__xludf.DUMMYFUNCTION("IMPORTRANGE(""https://docs.google.com/spreadsheets/d/11923uPwbBZFjjGgGUA6NLw09EwE0CqkOc4q9oUmW1yo/edit?usp=sharing"",""อุทัยธานี!J442"")"),24)</f>
        <v>24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IFERROR(__xludf.DUMMYFUNCTION("IMPORTRANGE(""https://docs.google.com/spreadsheets/d/11923uPwbBZFjjGgGUA6NLw09EwE0CqkOc4q9oUmW1yo/edit?usp=sharing"",""อุทัยธานี!J166"")"),0)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IFERROR(__xludf.DUMMYFUNCTION("IMPORTRANGE(""https://docs.google.com/spreadsheets/d/11923uPwbBZFjjGgGUA6NLw09EwE0CqkOc4q9oUmW1yo/edit?usp=sharing"",""อุทัยธานี!J444"")"),0)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IFERROR(__xludf.DUMMYFUNCTION("IMPORTRANGE(""https://docs.google.com/spreadsheets/d/11923uPwbBZFjjGgGUA6NLw09EwE0CqkOc4q9oUmW1yo/edit?usp=sharing"",""อุทัยธานี!J445"")"),0)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IFERROR(__xludf.DUMMYFUNCTION("IMPORTRANGE(""https://docs.google.com/spreadsheets/d/11923uPwbBZFjjGgGUA6NLw09EwE0CqkOc4q9oUmW1yo/edit?usp=sharing"",""อุทัยธานี!I446"")"),0)</f>
        <v>0</v>
      </c>
      <c r="J551" s="409">
        <f ca="1">IFERROR(__xludf.DUMMYFUNCTION("IMPORTRANGE(""https://docs.google.com/spreadsheets/d/11923uPwbBZFjjGgGUA6NLw09EwE0CqkOc4q9oUmW1yo/edit?usp=sharing"",""อุทัยธานี!J446"")"),0)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IFERROR(__xludf.DUMMYFUNCTION("IMPORTRANGE(""https://docs.google.com/spreadsheets/d/11923uPwbBZFjjGgGUA6NLw09EwE0CqkOc4q9oUmW1yo/edit?usp=sharing"",""อุทัยธานี!L446"")"),0)</f>
        <v>0</v>
      </c>
      <c r="M551" s="411"/>
      <c r="N551" s="411">
        <f ca="1">IFERROR(__xludf.DUMMYFUNCTION("IMPORTRANGE(""https://docs.google.com/spreadsheets/d/11923uPwbBZFjjGgGUA6NLw09EwE0CqkOc4q9oUmW1yo/edit?usp=sharing"",""อุทัยธานี!M446"")"),0)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IFERROR(__xludf.DUMMYFUNCTION("IMPORTRANGE(""https://docs.google.com/spreadsheets/d/11923uPwbBZFjjGgGUA6NLw09EwE0CqkOc4q9oUmW1yo/edit?usp=sharing"",""อุทัยธานี!L447"")"),0)</f>
        <v>0</v>
      </c>
      <c r="M552" s="164"/>
      <c r="N552" s="168">
        <f ca="1">IFERROR(__xludf.DUMMYFUNCTION("IMPORTRANGE(""https://docs.google.com/spreadsheets/d/11923uPwbBZFjjGgGUA6NLw09EwE0CqkOc4q9oUmW1yo/edit?usp=sharing"",""อุทัยธานี!M447"")"),0)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IFERROR(__xludf.DUMMYFUNCTION("IMPORTRANGE(""https://docs.google.com/spreadsheets/d/11923uPwbBZFjjGgGUA6NLw09EwE0CqkOc4q9oUmW1yo/edit?usp=sharing"",""อุทัยธานี!L448"")"),0)</f>
        <v>0</v>
      </c>
      <c r="M553" s="165"/>
      <c r="N553" s="168">
        <f ca="1">IFERROR(__xludf.DUMMYFUNCTION("IMPORTRANGE(""https://docs.google.com/spreadsheets/d/11923uPwbBZFjjGgGUA6NLw09EwE0CqkOc4q9oUmW1yo/edit?usp=sharing"",""อุทัยธานี!M448"")"),0)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IFERROR(__xludf.DUMMYFUNCTION("IMPORTRANGE(""https://docs.google.com/spreadsheets/d/11923uPwbBZFjjGgGUA6NLw09EwE0CqkOc4q9oUmW1yo/edit?usp=sharing"",""อุทัยธานี!L449"")"),0)</f>
        <v>0</v>
      </c>
      <c r="M554" s="168"/>
      <c r="N554" s="168">
        <f ca="1">IFERROR(__xludf.DUMMYFUNCTION("IMPORTRANGE(""https://docs.google.com/spreadsheets/d/11923uPwbBZFjjGgGUA6NLw09EwE0CqkOc4q9oUmW1yo/edit?usp=sharing"",""อุทัยธานี!M449"")"),0)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IFERROR(__xludf.DUMMYFUNCTION("IMPORTRANGE(""https://docs.google.com/spreadsheets/d/11923uPwbBZFjjGgGUA6NLw09EwE0CqkOc4q9oUmW1yo/edit?usp=sharing"",""อุทัยธานี!L450"")"),0)</f>
        <v>0</v>
      </c>
      <c r="M555" s="168"/>
      <c r="N555" s="168">
        <f ca="1">IFERROR(__xludf.DUMMYFUNCTION("IMPORTRANGE(""https://docs.google.com/spreadsheets/d/11923uPwbBZFjjGgGUA6NLw09EwE0CqkOc4q9oUmW1yo/edit?usp=sharing"",""อุทัยธานี!M450"")"),0)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IFERROR(__xludf.DUMMYFUNCTION("IMPORTRANGE(""https://docs.google.com/spreadsheets/d/11923uPwbBZFjjGgGUA6NLw09EwE0CqkOc4q9oUmW1yo/edit?usp=sharing"",""อุทัยธานี!M451"")"),0)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IFERROR(__xludf.DUMMYFUNCTION("IMPORTRANGE(""https://docs.google.com/spreadsheets/d/11923uPwbBZFjjGgGUA6NLw09EwE0CqkOc4q9oUmW1yo/edit?usp=sharing"",""อุทัยธานี!M452"")"),0)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IFERROR(__xludf.DUMMYFUNCTION("IMPORTRANGE(""https://docs.google.com/spreadsheets/d/11923uPwbBZFjjGgGUA6NLw09EwE0CqkOc4q9oUmW1yo/edit?usp=sharing"",""อุทัยธานี!M453"")"),0)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IFERROR(__xludf.DUMMYFUNCTION("IMPORTRANGE(""https://docs.google.com/spreadsheets/d/11923uPwbBZFjjGgGUA6NLw09EwE0CqkOc4q9oUmW1yo/edit?usp=sharing"",""อุทัยธานี!M454"")"),0)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IFERROR(__xludf.DUMMYFUNCTION("IMPORTRANGE(""https://docs.google.com/spreadsheets/d/11923uPwbBZFjjGgGUA6NLw09EwE0CqkOc4q9oUmW1yo/edit?usp=sharing"",""อุทัยธานี!I455"")"),0)</f>
        <v>0</v>
      </c>
      <c r="J560" s="162">
        <f ca="1">IFERROR(__xludf.DUMMYFUNCTION("IMPORTRANGE(""https://docs.google.com/spreadsheets/d/11923uPwbBZFjjGgGUA6NLw09EwE0CqkOc4q9oUmW1yo/edit?usp=sharing"",""อุทัยธานี!J455"")"),0)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IFERROR(__xludf.DUMMYFUNCTION("IMPORTRANGE(""https://docs.google.com/spreadsheets/d/11923uPwbBZFjjGgGUA6NLw09EwE0CqkOc4q9oUmW1yo/edit?usp=sharing"",""อุทัยธานี!I456"")"),0)</f>
        <v>0</v>
      </c>
      <c r="J561" s="203">
        <f ca="1">IFERROR(__xludf.DUMMYFUNCTION("IMPORTRANGE(""https://docs.google.com/spreadsheets/d/11923uPwbBZFjjGgGUA6NLw09EwE0CqkOc4q9oUmW1yo/edit?usp=sharing"",""อุทัยธานี!J456"")"),0)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IFERROR(__xludf.DUMMYFUNCTION("IMPORTRANGE(""https://docs.google.com/spreadsheets/d/11923uPwbBZFjjGgGUA6NLw09EwE0CqkOc4q9oUmW1yo/edit?usp=sharing"",""อุทัยธานี!I459"")"),1550)</f>
        <v>1550</v>
      </c>
      <c r="J564" s="370">
        <f ca="1">IFERROR(__xludf.DUMMYFUNCTION("IMPORTRANGE(""https://docs.google.com/spreadsheets/d/11923uPwbBZFjjGgGUA6NLw09EwE0CqkOc4q9oUmW1yo/edit?usp=sharing"",""อุทัยธานี!J459"")"),4854)</f>
        <v>4854</v>
      </c>
      <c r="K564" s="371">
        <f ca="1">IF(I564&gt;0,J564*100/I564,0)</f>
        <v>313.16129032258067</v>
      </c>
      <c r="L564" s="372">
        <f ca="1">IFERROR(__xludf.DUMMYFUNCTION("IMPORTRANGE(""https://docs.google.com/spreadsheets/d/11923uPwbBZFjjGgGUA6NLw09EwE0CqkOc4q9oUmW1yo/edit?usp=sharing"",""อุทัยธานี!L459"")"),136880)</f>
        <v>136880</v>
      </c>
      <c r="M564" s="372"/>
      <c r="N564" s="372">
        <f ca="1">IFERROR(__xludf.DUMMYFUNCTION("IMPORTRANGE(""https://docs.google.com/spreadsheets/d/11923uPwbBZFjjGgGUA6NLw09EwE0CqkOc4q9oUmW1yo/edit?usp=sharing"",""อุทัยธานี!M459"")"),74251.33)</f>
        <v>74251.33</v>
      </c>
      <c r="O564" s="372">
        <f t="shared" ref="O564:O568" ca="1" si="122">+IF(L564&gt;0,N564*100/L564,0)</f>
        <v>54.245565458796023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IFERROR(__xludf.DUMMYFUNCTION("IMPORTRANGE(""https://docs.google.com/spreadsheets/d/11923uPwbBZFjjGgGUA6NLw09EwE0CqkOc4q9oUmW1yo/edit?usp=sharing"",""อุทัยธานี!L460"")"),0)</f>
        <v>0</v>
      </c>
      <c r="M565" s="164"/>
      <c r="N565" s="168">
        <f ca="1">IFERROR(__xludf.DUMMYFUNCTION("IMPORTRANGE(""https://docs.google.com/spreadsheets/d/11923uPwbBZFjjGgGUA6NLw09EwE0CqkOc4q9oUmW1yo/edit?usp=sharing"",""อุทัยธานี!M460"")"),0)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IFERROR(__xludf.DUMMYFUNCTION("IMPORTRANGE(""https://docs.google.com/spreadsheets/d/11923uPwbBZFjjGgGUA6NLw09EwE0CqkOc4q9oUmW1yo/edit?usp=sharing"",""อุทัยธานี!L461"")"),136880)</f>
        <v>136880</v>
      </c>
      <c r="M566" s="165"/>
      <c r="N566" s="168">
        <f ca="1">IFERROR(__xludf.DUMMYFUNCTION("IMPORTRANGE(""https://docs.google.com/spreadsheets/d/11923uPwbBZFjjGgGUA6NLw09EwE0CqkOc4q9oUmW1yo/edit?usp=sharing"",""อุทัยธานี!M461"")"),74251.33)</f>
        <v>74251.33</v>
      </c>
      <c r="O566" s="168">
        <f t="shared" ca="1" si="122"/>
        <v>54.245565458796023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IFERROR(__xludf.DUMMYFUNCTION("IMPORTRANGE(""https://docs.google.com/spreadsheets/d/11923uPwbBZFjjGgGUA6NLw09EwE0CqkOc4q9oUmW1yo/edit?usp=sharing"",""อุทัยธานี!L462"")"),0)</f>
        <v>0</v>
      </c>
      <c r="M567" s="168"/>
      <c r="N567" s="168">
        <f ca="1">IFERROR(__xludf.DUMMYFUNCTION("IMPORTRANGE(""https://docs.google.com/spreadsheets/d/11923uPwbBZFjjGgGUA6NLw09EwE0CqkOc4q9oUmW1yo/edit?usp=sharing"",""อุทัยธานี!M462"")"),0)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IFERROR(__xludf.DUMMYFUNCTION("IMPORTRANGE(""https://docs.google.com/spreadsheets/d/11923uPwbBZFjjGgGUA6NLw09EwE0CqkOc4q9oUmW1yo/edit?usp=sharing"",""อุทัยธานี!L463"")"),136880)</f>
        <v>136880</v>
      </c>
      <c r="M568" s="168"/>
      <c r="N568" s="168">
        <f ca="1">IFERROR(__xludf.DUMMYFUNCTION("IMPORTRANGE(""https://docs.google.com/spreadsheets/d/11923uPwbBZFjjGgGUA6NLw09EwE0CqkOc4q9oUmW1yo/edit?usp=sharing"",""อุทัยธานี!M463"")"),74251.33)</f>
        <v>74251.33</v>
      </c>
      <c r="O568" s="168">
        <f t="shared" ca="1" si="122"/>
        <v>54.245565458796023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IFERROR(__xludf.DUMMYFUNCTION("IMPORTRANGE(""https://docs.google.com/spreadsheets/d/11923uPwbBZFjjGgGUA6NLw09EwE0CqkOc4q9oUmW1yo/edit?usp=sharing"",""อุทัยธานี!M464"")"),0)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IFERROR(__xludf.DUMMYFUNCTION("IMPORTRANGE(""https://docs.google.com/spreadsheets/d/11923uPwbBZFjjGgGUA6NLw09EwE0CqkOc4q9oUmW1yo/edit?usp=sharing"",""อุทัยธานี!M465"")"),0)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IFERROR(__xludf.DUMMYFUNCTION("IMPORTRANGE(""https://docs.google.com/spreadsheets/d/11923uPwbBZFjjGgGUA6NLw09EwE0CqkOc4q9oUmW1yo/edit?usp=sharing"",""อุทัยธานี!M466"")"),51729.33)</f>
        <v>51729.33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IFERROR(__xludf.DUMMYFUNCTION("IMPORTRANGE(""https://docs.google.com/spreadsheets/d/11923uPwbBZFjjGgGUA6NLw09EwE0CqkOc4q9oUmW1yo/edit?usp=sharing"",""อุทัยธานี!M467"")"),22522)</f>
        <v>22522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IFERROR(__xludf.DUMMYFUNCTION("IMPORTRANGE(""https://docs.google.com/spreadsheets/d/11923uPwbBZFjjGgGUA6NLw09EwE0CqkOc4q9oUmW1yo/edit?usp=sharing"",""อุทัยธานี!I468"")"),1550)</f>
        <v>1550</v>
      </c>
      <c r="J573" s="420">
        <f ca="1">IFERROR(__xludf.DUMMYFUNCTION("IMPORTRANGE(""https://docs.google.com/spreadsheets/d/11923uPwbBZFjjGgGUA6NLw09EwE0CqkOc4q9oUmW1yo/edit?usp=sharing"",""อุทัยธานี!J468"")"),4854)</f>
        <v>4854</v>
      </c>
      <c r="K573" s="201">
        <f ca="1">IF(I573&gt;0,J573*100/I573,0)</f>
        <v>313.16129032258067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IFERROR(__xludf.DUMMYFUNCTION("IMPORTRANGE(""https://docs.google.com/spreadsheets/d/11923uPwbBZFjjGgGUA6NLw09EwE0CqkOc4q9oUmW1yo/edit?usp=sharing"",""อุทัยธานี!I470"")"),0)</f>
        <v>0</v>
      </c>
      <c r="J575" s="197">
        <f ca="1">IFERROR(__xludf.DUMMYFUNCTION("IMPORTRANGE(""https://docs.google.com/spreadsheets/d/11923uPwbBZFjjGgGUA6NLw09EwE0CqkOc4q9oUmW1yo/edit?usp=sharing"",""อุทัยธานี!J470"")"),5)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IFERROR(__xludf.DUMMYFUNCTION("IMPORTRANGE(""https://docs.google.com/spreadsheets/d/11923uPwbBZFjjGgGUA6NLw09EwE0CqkOc4q9oUmW1yo/edit?usp=sharing"",""อุทัยธานี!I471"")"),0)</f>
        <v>0</v>
      </c>
      <c r="J576" s="197">
        <f ca="1">IFERROR(__xludf.DUMMYFUNCTION("IMPORTRANGE(""https://docs.google.com/spreadsheets/d/11923uPwbBZFjjGgGUA6NLw09EwE0CqkOc4q9oUmW1yo/edit?usp=sharing"",""อุทัยธานี!J471"")"),633)</f>
        <v>633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IFERROR(__xludf.DUMMYFUNCTION("IMPORTRANGE(""https://docs.google.com/spreadsheets/d/11923uPwbBZFjjGgGUA6NLw09EwE0CqkOc4q9oUmW1yo/edit?usp=sharing"",""อุทัยธานี!I472"")"),0)</f>
        <v>0</v>
      </c>
      <c r="J577" s="188">
        <f ca="1">IFERROR(__xludf.DUMMYFUNCTION("IMPORTRANGE(""https://docs.google.com/spreadsheets/d/11923uPwbBZFjjGgGUA6NLw09EwE0CqkOc4q9oUmW1yo/edit?usp=sharing"",""อุทัยธานี!J472"")"),4221)</f>
        <v>4221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IFERROR(__xludf.DUMMYFUNCTION("IMPORTRANGE(""https://docs.google.com/spreadsheets/d/11923uPwbBZFjjGgGUA6NLw09EwE0CqkOc4q9oUmW1yo/edit?usp=sharing"",""อุทัยธานี!I473"")"),0)</f>
        <v>0</v>
      </c>
      <c r="J578" s="197">
        <f ca="1">IFERROR(__xludf.DUMMYFUNCTION("IMPORTRANGE(""https://docs.google.com/spreadsheets/d/11923uPwbBZFjjGgGUA6NLw09EwE0CqkOc4q9oUmW1yo/edit?usp=sharing"",""อุทัยธานี!J473"")"),0)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IFERROR(__xludf.DUMMYFUNCTION("IMPORTRANGE(""https://docs.google.com/spreadsheets/d/11923uPwbBZFjjGgGUA6NLw09EwE0CqkOc4q9oUmW1yo/edit?usp=sharing"",""อุทัยธานี!I474"")"),0)</f>
        <v>0</v>
      </c>
      <c r="J579" s="197">
        <f ca="1">IFERROR(__xludf.DUMMYFUNCTION("IMPORTRANGE(""https://docs.google.com/spreadsheets/d/11923uPwbBZFjjGgGUA6NLw09EwE0CqkOc4q9oUmW1yo/edit?usp=sharing"",""อุทัยธานี!J474"")"),0)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IFERROR(__xludf.DUMMYFUNCTION("IMPORTRANGE(""https://docs.google.com/spreadsheets/d/11923uPwbBZFjjGgGUA6NLw09EwE0CqkOc4q9oUmW1yo/edit?usp=sharing"",""อุทัยธานี!I475"")"),7)</f>
        <v>7</v>
      </c>
      <c r="J580" s="370">
        <f ca="1">IFERROR(__xludf.DUMMYFUNCTION("IMPORTRANGE(""https://docs.google.com/spreadsheets/d/11923uPwbBZFjjGgGUA6NLw09EwE0CqkOc4q9oUmW1yo/edit?usp=sharing"",""อุทัยธานี!J475"")"),7)</f>
        <v>7</v>
      </c>
      <c r="K580" s="371">
        <f ca="1">IF(I580&gt;0,J580*100/I580,0)</f>
        <v>100</v>
      </c>
      <c r="L580" s="372">
        <f ca="1">IFERROR(__xludf.DUMMYFUNCTION("IMPORTRANGE(""https://docs.google.com/spreadsheets/d/11923uPwbBZFjjGgGUA6NLw09EwE0CqkOc4q9oUmW1yo/edit?usp=sharing"",""อุทัยธานี!L475"")"),111857)</f>
        <v>111857</v>
      </c>
      <c r="M580" s="372"/>
      <c r="N580" s="372">
        <f ca="1">IFERROR(__xludf.DUMMYFUNCTION("IMPORTRANGE(""https://docs.google.com/spreadsheets/d/11923uPwbBZFjjGgGUA6NLw09EwE0CqkOc4q9oUmW1yo/edit?usp=sharing"",""อุทัยธานี!M475"")"),5920)</f>
        <v>5920</v>
      </c>
      <c r="O580" s="372">
        <f t="shared" ref="O580:O584" ca="1" si="124">+IF(L580&gt;0,N580*100/L580,0)</f>
        <v>5.2924716378948125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IFERROR(__xludf.DUMMYFUNCTION("IMPORTRANGE(""https://docs.google.com/spreadsheets/d/11923uPwbBZFjjGgGUA6NLw09EwE0CqkOc4q9oUmW1yo/edit?usp=sharing"",""อุทัยธานี!L476"")"),0)</f>
        <v>0</v>
      </c>
      <c r="M581" s="164"/>
      <c r="N581" s="168">
        <f ca="1">IFERROR(__xludf.DUMMYFUNCTION("IMPORTRANGE(""https://docs.google.com/spreadsheets/d/11923uPwbBZFjjGgGUA6NLw09EwE0CqkOc4q9oUmW1yo/edit?usp=sharing"",""อุทัยธานี!M476"")"),0)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IFERROR(__xludf.DUMMYFUNCTION("IMPORTRANGE(""https://docs.google.com/spreadsheets/d/11923uPwbBZFjjGgGUA6NLw09EwE0CqkOc4q9oUmW1yo/edit?usp=sharing"",""อุทัยธานี!L477"")"),111857)</f>
        <v>111857</v>
      </c>
      <c r="M582" s="165"/>
      <c r="N582" s="168">
        <f ca="1">IFERROR(__xludf.DUMMYFUNCTION("IMPORTRANGE(""https://docs.google.com/spreadsheets/d/11923uPwbBZFjjGgGUA6NLw09EwE0CqkOc4q9oUmW1yo/edit?usp=sharing"",""อุทัยธานี!M477"")"),5920)</f>
        <v>5920</v>
      </c>
      <c r="O582" s="168">
        <f t="shared" ca="1" si="124"/>
        <v>5.2924716378948125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IFERROR(__xludf.DUMMYFUNCTION("IMPORTRANGE(""https://docs.google.com/spreadsheets/d/11923uPwbBZFjjGgGUA6NLw09EwE0CqkOc4q9oUmW1yo/edit?usp=sharing"",""อุทัยธานี!L478"")"),0)</f>
        <v>0</v>
      </c>
      <c r="M583" s="168"/>
      <c r="N583" s="168">
        <f ca="1">IFERROR(__xludf.DUMMYFUNCTION("IMPORTRANGE(""https://docs.google.com/spreadsheets/d/11923uPwbBZFjjGgGUA6NLw09EwE0CqkOc4q9oUmW1yo/edit?usp=sharing"",""อุทัยธานี!M478"")"),0)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IFERROR(__xludf.DUMMYFUNCTION("IMPORTRANGE(""https://docs.google.com/spreadsheets/d/11923uPwbBZFjjGgGUA6NLw09EwE0CqkOc4q9oUmW1yo/edit?usp=sharing"",""อุทัยธานี!L479"")"),111857)</f>
        <v>111857</v>
      </c>
      <c r="M584" s="168"/>
      <c r="N584" s="168">
        <f ca="1">IFERROR(__xludf.DUMMYFUNCTION("IMPORTRANGE(""https://docs.google.com/spreadsheets/d/11923uPwbBZFjjGgGUA6NLw09EwE0CqkOc4q9oUmW1yo/edit?usp=sharing"",""อุทัยธานี!M479"")"),5920)</f>
        <v>5920</v>
      </c>
      <c r="O584" s="168">
        <f t="shared" ca="1" si="124"/>
        <v>5.2924716378948125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IFERROR(__xludf.DUMMYFUNCTION("IMPORTRANGE(""https://docs.google.com/spreadsheets/d/11923uPwbBZFjjGgGUA6NLw09EwE0CqkOc4q9oUmW1yo/edit?usp=sharing"",""อุทัยธานี!M480"")"),0)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IFERROR(__xludf.DUMMYFUNCTION("IMPORTRANGE(""https://docs.google.com/spreadsheets/d/11923uPwbBZFjjGgGUA6NLw09EwE0CqkOc4q9oUmW1yo/edit?usp=sharing"",""อุทัยธานี!M481"")"),0)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IFERROR(__xludf.DUMMYFUNCTION("IMPORTRANGE(""https://docs.google.com/spreadsheets/d/11923uPwbBZFjjGgGUA6NLw09EwE0CqkOc4q9oUmW1yo/edit?usp=sharing"",""อุทัยธานี!M482"")"),0)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IFERROR(__xludf.DUMMYFUNCTION("IMPORTRANGE(""https://docs.google.com/spreadsheets/d/11923uPwbBZFjjGgGUA6NLw09EwE0CqkOc4q9oUmW1yo/edit?usp=sharing"",""อุทัยธานี!M483"")"),5920)</f>
        <v>5920</v>
      </c>
      <c r="O588" s="168"/>
      <c r="P588" s="168"/>
    </row>
    <row r="589" spans="1:16" ht="21.75" customHeight="1" x14ac:dyDescent="0.3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IFERROR(__xludf.DUMMYFUNCTION("IMPORTRANGE(""https://docs.google.com/spreadsheets/d/11923uPwbBZFjjGgGUA6NLw09EwE0CqkOc4q9oUmW1yo/edit?usp=sharing"",""อุทัยธานี!I484"")"),7)</f>
        <v>7</v>
      </c>
      <c r="J589" s="187">
        <f ca="1">IFERROR(__xludf.DUMMYFUNCTION("IMPORTRANGE(""https://docs.google.com/spreadsheets/d/11923uPwbBZFjjGgGUA6NLw09EwE0CqkOc4q9oUmW1yo/edit?usp=sharing"",""อุทัยธานี!J484"")"),4)</f>
        <v>4</v>
      </c>
      <c r="K589" s="163">
        <f t="shared" ref="K589:K596" ca="1" si="125">IF(I589&gt;0,J589*100/I589,0)</f>
        <v>57.142857142857146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IFERROR(__xludf.DUMMYFUNCTION("IMPORTRANGE(""https://docs.google.com/spreadsheets/d/11923uPwbBZFjjGgGUA6NLw09EwE0CqkOc4q9oUmW1yo/edit?usp=sharing"",""อุทัยธานี!I485"")"),0)</f>
        <v>0</v>
      </c>
      <c r="J590" s="187">
        <f ca="1">IFERROR(__xludf.DUMMYFUNCTION("IMPORTRANGE(""https://docs.google.com/spreadsheets/d/11923uPwbBZFjjGgGUA6NLw09EwE0CqkOc4q9oUmW1yo/edit?usp=sharing"",""อุทัยธานี!J485"")"),3.02)</f>
        <v>3.02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IFERROR(__xludf.DUMMYFUNCTION("IMPORTRANGE(""https://docs.google.com/spreadsheets/d/11923uPwbBZFjjGgGUA6NLw09EwE0CqkOc4q9oUmW1yo/edit?usp=sharing"",""อุทัยธานี!I486"")"),7)</f>
        <v>7</v>
      </c>
      <c r="J591" s="187">
        <f ca="1">IFERROR(__xludf.DUMMYFUNCTION("IMPORTRANGE(""https://docs.google.com/spreadsheets/d/11923uPwbBZFjjGgGUA6NLw09EwE0CqkOc4q9oUmW1yo/edit?usp=sharing"",""อุทัยธานี!J486"")"),7)</f>
        <v>7</v>
      </c>
      <c r="K591" s="163">
        <f t="shared" ca="1" si="125"/>
        <v>100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IFERROR(__xludf.DUMMYFUNCTION("IMPORTRANGE(""https://docs.google.com/spreadsheets/d/11923uPwbBZFjjGgGUA6NLw09EwE0CqkOc4q9oUmW1yo/edit?usp=sharing"",""อุทัยธานี!I487"")"),0)</f>
        <v>0</v>
      </c>
      <c r="J592" s="187">
        <f ca="1">IFERROR(__xludf.DUMMYFUNCTION("IMPORTRANGE(""https://docs.google.com/spreadsheets/d/11923uPwbBZFjjGgGUA6NLw09EwE0CqkOc4q9oUmW1yo/edit?usp=sharing"",""อุทัยธานี!J487"")"),5.5)</f>
        <v>5.5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IFERROR(__xludf.DUMMYFUNCTION("IMPORTRANGE(""https://docs.google.com/spreadsheets/d/11923uPwbBZFjjGgGUA6NLw09EwE0CqkOc4q9oUmW1yo/edit?usp=sharing"",""อุทัยธานี!I488"")"),7)</f>
        <v>7</v>
      </c>
      <c r="J593" s="187">
        <f ca="1">IFERROR(__xludf.DUMMYFUNCTION("IMPORTRANGE(""https://docs.google.com/spreadsheets/d/11923uPwbBZFjjGgGUA6NLw09EwE0CqkOc4q9oUmW1yo/edit?usp=sharing"",""อุทัยธานี!J488"")"),4)</f>
        <v>4</v>
      </c>
      <c r="K593" s="163">
        <f t="shared" ca="1" si="125"/>
        <v>57.142857142857146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IFERROR(__xludf.DUMMYFUNCTION("IMPORTRANGE(""https://docs.google.com/spreadsheets/d/11923uPwbBZFjjGgGUA6NLw09EwE0CqkOc4q9oUmW1yo/edit?usp=sharing"",""อุทัยธานี!I489"")"),0)</f>
        <v>0</v>
      </c>
      <c r="J594" s="187">
        <f ca="1">IFERROR(__xludf.DUMMYFUNCTION("IMPORTRANGE(""https://docs.google.com/spreadsheets/d/11923uPwbBZFjjGgGUA6NLw09EwE0CqkOc4q9oUmW1yo/edit?usp=sharing"",""อุทัยธานี!J489"")"),3.07)</f>
        <v>3.07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IFERROR(__xludf.DUMMYFUNCTION("IMPORTRANGE(""https://docs.google.com/spreadsheets/d/11923uPwbBZFjjGgGUA6NLw09EwE0CqkOc4q9oUmW1yo/edit?usp=sharing"",""อุทัยธานี!I490"")"),7)</f>
        <v>7</v>
      </c>
      <c r="J595" s="187">
        <f ca="1">IFERROR(__xludf.DUMMYFUNCTION("IMPORTRANGE(""https://docs.google.com/spreadsheets/d/11923uPwbBZFjjGgGUA6NLw09EwE0CqkOc4q9oUmW1yo/edit?usp=sharing"",""อุทัยธานี!J490"")"),7)</f>
        <v>7</v>
      </c>
      <c r="K595" s="163">
        <f t="shared" ca="1" si="125"/>
        <v>100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IFERROR(__xludf.DUMMYFUNCTION("IMPORTRANGE(""https://docs.google.com/spreadsheets/d/11923uPwbBZFjjGgGUA6NLw09EwE0CqkOc4q9oUmW1yo/edit?usp=sharing"",""อุทัยธานี!I491"")"),0)</f>
        <v>0</v>
      </c>
      <c r="J596" s="241">
        <f ca="1">IFERROR(__xludf.DUMMYFUNCTION("IMPORTRANGE(""https://docs.google.com/spreadsheets/d/11923uPwbBZFjjGgGUA6NLw09EwE0CqkOc4q9oUmW1yo/edit?usp=sharing"",""อุทัยธานี!J491"")"),5.5)</f>
        <v>5.5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IFERROR(__xludf.DUMMYFUNCTION("IMPORTRANGE(""https://docs.google.com/spreadsheets/d/11923uPwbBZFjjGgGUA6NLw09EwE0CqkOc4q9oUmW1yo/edit?usp=sharing"",""อุทัยธานี!I492"")"),50)</f>
        <v>50</v>
      </c>
      <c r="J597" s="487">
        <f ca="1">IFERROR(__xludf.DUMMYFUNCTION("IMPORTRANGE(""https://docs.google.com/spreadsheets/d/11923uPwbBZFjjGgGUA6NLw09EwE0CqkOc4q9oUmW1yo/edit?usp=sharing"",""อุทัยธานี!J492"")"),0)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IFERROR(__xludf.DUMMYFUNCTION("IMPORTRANGE(""https://docs.google.com/spreadsheets/d/11923uPwbBZFjjGgGUA6NLw09EwE0CqkOc4q9oUmW1yo/edit?usp=sharing"",""อุทัยธานี!L492"")"),8550)</f>
        <v>8550</v>
      </c>
      <c r="M597" s="411"/>
      <c r="N597" s="411">
        <f ca="1">IFERROR(__xludf.DUMMYFUNCTION("IMPORTRANGE(""https://docs.google.com/spreadsheets/d/11923uPwbBZFjjGgGUA6NLw09EwE0CqkOc4q9oUmW1yo/edit?usp=sharing"",""อุทัยธานี!M492"")"),5800)</f>
        <v>5800</v>
      </c>
      <c r="O597" s="411">
        <f t="shared" ref="O597:O601" ca="1" si="126">+IF(L597&gt;0,N597*100/L597,0)</f>
        <v>67.836257309941516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IFERROR(__xludf.DUMMYFUNCTION("IMPORTRANGE(""https://docs.google.com/spreadsheets/d/11923uPwbBZFjjGgGUA6NLw09EwE0CqkOc4q9oUmW1yo/edit?usp=sharing"",""อุทัยธานี!L493"")"),0)</f>
        <v>0</v>
      </c>
      <c r="M598" s="164"/>
      <c r="N598" s="168">
        <f ca="1">IFERROR(__xludf.DUMMYFUNCTION("IMPORTRANGE(""https://docs.google.com/spreadsheets/d/11923uPwbBZFjjGgGUA6NLw09EwE0CqkOc4q9oUmW1yo/edit?usp=sharing"",""อุทัยธานี!M493"")"),0)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IFERROR(__xludf.DUMMYFUNCTION("IMPORTRANGE(""https://docs.google.com/spreadsheets/d/11923uPwbBZFjjGgGUA6NLw09EwE0CqkOc4q9oUmW1yo/edit?usp=sharing"",""อุทัยธานี!L494"")"),8550)</f>
        <v>8550</v>
      </c>
      <c r="M599" s="165"/>
      <c r="N599" s="168">
        <f ca="1">IFERROR(__xludf.DUMMYFUNCTION("IMPORTRANGE(""https://docs.google.com/spreadsheets/d/11923uPwbBZFjjGgGUA6NLw09EwE0CqkOc4q9oUmW1yo/edit?usp=sharing"",""อุทัยธานี!M494"")"),5800)</f>
        <v>5800</v>
      </c>
      <c r="O599" s="168">
        <f t="shared" ca="1" si="126"/>
        <v>67.836257309941516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IFERROR(__xludf.DUMMYFUNCTION("IMPORTRANGE(""https://docs.google.com/spreadsheets/d/11923uPwbBZFjjGgGUA6NLw09EwE0CqkOc4q9oUmW1yo/edit?usp=sharing"",""อุทัยธานี!L495"")"),0)</f>
        <v>0</v>
      </c>
      <c r="M600" s="168"/>
      <c r="N600" s="168">
        <f ca="1">IFERROR(__xludf.DUMMYFUNCTION("IMPORTRANGE(""https://docs.google.com/spreadsheets/d/11923uPwbBZFjjGgGUA6NLw09EwE0CqkOc4q9oUmW1yo/edit?usp=sharing"",""อุทัยธานี!M495"")"),0)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IFERROR(__xludf.DUMMYFUNCTION("IMPORTRANGE(""https://docs.google.com/spreadsheets/d/11923uPwbBZFjjGgGUA6NLw09EwE0CqkOc4q9oUmW1yo/edit?usp=sharing"",""อุทัยธานี!L496"")"),8550)</f>
        <v>8550</v>
      </c>
      <c r="M601" s="168"/>
      <c r="N601" s="168">
        <f ca="1">IFERROR(__xludf.DUMMYFUNCTION("IMPORTRANGE(""https://docs.google.com/spreadsheets/d/11923uPwbBZFjjGgGUA6NLw09EwE0CqkOc4q9oUmW1yo/edit?usp=sharing"",""อุทัยธานี!M496"")"),5800)</f>
        <v>5800</v>
      </c>
      <c r="O601" s="168">
        <f t="shared" ca="1" si="126"/>
        <v>67.836257309941516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IFERROR(__xludf.DUMMYFUNCTION("IMPORTRANGE(""https://docs.google.com/spreadsheets/d/11923uPwbBZFjjGgGUA6NLw09EwE0CqkOc4q9oUmW1yo/edit?usp=sharing"",""อุทัยธานี!M497"")"),0)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IFERROR(__xludf.DUMMYFUNCTION("IMPORTRANGE(""https://docs.google.com/spreadsheets/d/11923uPwbBZFjjGgGUA6NLw09EwE0CqkOc4q9oUmW1yo/edit?usp=sharing"",""อุทัยธานี!M498"")"),0)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IFERROR(__xludf.DUMMYFUNCTION("IMPORTRANGE(""https://docs.google.com/spreadsheets/d/11923uPwbBZFjjGgGUA6NLw09EwE0CqkOc4q9oUmW1yo/edit?usp=sharing"",""อุทัยธานี!M499"")"),0)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IFERROR(__xludf.DUMMYFUNCTION("IMPORTRANGE(""https://docs.google.com/spreadsheets/d/11923uPwbBZFjjGgGUA6NLw09EwE0CqkOc4q9oUmW1yo/edit?usp=sharing"",""อุทัยธานี!M500"")"),5800)</f>
        <v>5800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IFERROR(__xludf.DUMMYFUNCTION("IMPORTRANGE(""https://docs.google.com/spreadsheets/d/11923uPwbBZFjjGgGUA6NLw09EwE0CqkOc4q9oUmW1yo/edit?usp=sharing"",""อุทัยธานี!J502"")"),0)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IFERROR(__xludf.DUMMYFUNCTION("IMPORTRANGE(""https://docs.google.com/spreadsheets/d/11923uPwbBZFjjGgGUA6NLw09EwE0CqkOc4q9oUmW1yo/edit?usp=sharing"",""อุทัยธานี!J503"")"),1)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IFERROR(__xludf.DUMMYFUNCTION("IMPORTRANGE(""https://docs.google.com/spreadsheets/d/11923uPwbBZFjjGgGUA6NLw09EwE0CqkOc4q9oUmW1yo/edit?usp=sharing"",""อุทัยธานี!J166"")"),0)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IFERROR(__xludf.DUMMYFUNCTION("IMPORTRANGE(""https://docs.google.com/spreadsheets/d/11923uPwbBZFjjGgGUA6NLw09EwE0CqkOc4q9oUmW1yo/edit?usp=sharing"",""อุทัยธานี!J166"")"),0)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IFERROR(__xludf.DUMMYFUNCTION("IMPORTRANGE(""https://docs.google.com/spreadsheets/d/11923uPwbBZFjjGgGUA6NLw09EwE0CqkOc4q9oUmW1yo/edit?usp=sharing"",""อุทัยธานี!I506"")"),50)</f>
        <v>50</v>
      </c>
      <c r="J611" s="162">
        <f ca="1">IFERROR(__xludf.DUMMYFUNCTION("IMPORTRANGE(""https://docs.google.com/spreadsheets/d/11923uPwbBZFjjGgGUA6NLw09EwE0CqkOc4q9oUmW1yo/edit?usp=sharing"",""อุทัยธานี!J506"")"),0)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IFERROR(__xludf.DUMMYFUNCTION("IMPORTRANGE(""https://docs.google.com/spreadsheets/d/11923uPwbBZFjjGgGUA6NLw09EwE0CqkOc4q9oUmW1yo/edit?usp=sharing"",""อุทัยธานี!I507"")"),0)</f>
        <v>0</v>
      </c>
      <c r="J612" s="197">
        <f ca="1">IFERROR(__xludf.DUMMYFUNCTION("IMPORTRANGE(""https://docs.google.com/spreadsheets/d/11923uPwbBZFjjGgGUA6NLw09EwE0CqkOc4q9oUmW1yo/edit?usp=sharing"",""อุทัยธานี!J507"")"),0)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IFERROR(__xludf.DUMMYFUNCTION("IMPORTRANGE(""https://docs.google.com/spreadsheets/d/11923uPwbBZFjjGgGUA6NLw09EwE0CqkOc4q9oUmW1yo/edit?usp=sharing"",""อุทัยธานี!I508"")"),0)</f>
        <v>0</v>
      </c>
      <c r="J613" s="197">
        <f ca="1">IFERROR(__xludf.DUMMYFUNCTION("IMPORTRANGE(""https://docs.google.com/spreadsheets/d/11923uPwbBZFjjGgGUA6NLw09EwE0CqkOc4q9oUmW1yo/edit?usp=sharing"",""อุทัยธานี!J508"")"),0)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IFERROR(__xludf.DUMMYFUNCTION("IMPORTRANGE(""https://docs.google.com/spreadsheets/d/11923uPwbBZFjjGgGUA6NLw09EwE0CqkOc4q9oUmW1yo/edit?usp=sharing"",""อุทัยธานี!I509"")"),0)</f>
        <v>0</v>
      </c>
      <c r="J614" s="197">
        <f ca="1">IFERROR(__xludf.DUMMYFUNCTION("IMPORTRANGE(""https://docs.google.com/spreadsheets/d/11923uPwbBZFjjGgGUA6NLw09EwE0CqkOc4q9oUmW1yo/edit?usp=sharing"",""อุทัยธานี!J509"")"),0)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IFERROR(__xludf.DUMMYFUNCTION("IMPORTRANGE(""https://docs.google.com/spreadsheets/d/11923uPwbBZFjjGgGUA6NLw09EwE0CqkOc4q9oUmW1yo/edit?usp=sharing"",""อุทัยธานี!I510"")"),0)</f>
        <v>0</v>
      </c>
      <c r="J615" s="197">
        <f ca="1">IFERROR(__xludf.DUMMYFUNCTION("IMPORTRANGE(""https://docs.google.com/spreadsheets/d/11923uPwbBZFjjGgGUA6NLw09EwE0CqkOc4q9oUmW1yo/edit?usp=sharing"",""อุทัยธานี!J510"")"),0)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IFERROR(__xludf.DUMMYFUNCTION("IMPORTRANGE(""https://docs.google.com/spreadsheets/d/11923uPwbBZFjjGgGUA6NLw09EwE0CqkOc4q9oUmW1yo/edit?usp=sharing"",""อุทัยธานี!I511"")"),0)</f>
        <v>0</v>
      </c>
      <c r="J616" s="197">
        <f ca="1">IFERROR(__xludf.DUMMYFUNCTION("IMPORTRANGE(""https://docs.google.com/spreadsheets/d/11923uPwbBZFjjGgGUA6NLw09EwE0CqkOc4q9oUmW1yo/edit?usp=sharing"",""อุทัยธานี!J511"")"),0)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IFERROR(__xludf.DUMMYFUNCTION("IMPORTRANGE(""https://docs.google.com/spreadsheets/d/11923uPwbBZFjjGgGUA6NLw09EwE0CqkOc4q9oUmW1yo/edit?usp=sharing"",""อุทัยธานี!I512"")"),0)</f>
        <v>0</v>
      </c>
      <c r="J617" s="187">
        <f ca="1">IFERROR(__xludf.DUMMYFUNCTION("IMPORTRANGE(""https://docs.google.com/spreadsheets/d/11923uPwbBZFjjGgGUA6NLw09EwE0CqkOc4q9oUmW1yo/edit?usp=sharing"",""อุทัยธานี!J512"")"),0)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IFERROR(__xludf.DUMMYFUNCTION("IMPORTRANGE(""https://docs.google.com/spreadsheets/d/11923uPwbBZFjjGgGUA6NLw09EwE0CqkOc4q9oUmW1yo/edit?usp=sharing"",""อุทัยธานี!I513"")"),0)</f>
        <v>0</v>
      </c>
      <c r="J618" s="188">
        <f ca="1">IFERROR(__xludf.DUMMYFUNCTION("IMPORTRANGE(""https://docs.google.com/spreadsheets/d/11923uPwbBZFjjGgGUA6NLw09EwE0CqkOc4q9oUmW1yo/edit?usp=sharing"",""อุทัยธานี!J513"")"),0)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IFERROR(__xludf.DUMMYFUNCTION("IMPORTRANGE(""https://docs.google.com/spreadsheets/d/11923uPwbBZFjjGgGUA6NLw09EwE0CqkOc4q9oUmW1yo/edit?usp=sharing"",""อุทัยธานี!I514"")"),0)</f>
        <v>0</v>
      </c>
      <c r="J619" s="188">
        <f ca="1">IFERROR(__xludf.DUMMYFUNCTION("IMPORTRANGE(""https://docs.google.com/spreadsheets/d/11923uPwbBZFjjGgGUA6NLw09EwE0CqkOc4q9oUmW1yo/edit?usp=sharing"",""อุทัยธานี!J514"")"),0)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IFERROR(__xludf.DUMMYFUNCTION("IMPORTRANGE(""https://docs.google.com/spreadsheets/d/11923uPwbBZFjjGgGUA6NLw09EwE0CqkOc4q9oUmW1yo/edit?usp=sharing"",""อุทัยธานี!I515"")"),0)</f>
        <v>0</v>
      </c>
      <c r="J620" s="202">
        <f ca="1">IFERROR(__xludf.DUMMYFUNCTION("IMPORTRANGE(""https://docs.google.com/spreadsheets/d/11923uPwbBZFjjGgGUA6NLw09EwE0CqkOc4q9oUmW1yo/edit?usp=sharing"",""อุทัยธานี!J515"")"),0)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IFERROR(__xludf.DUMMYFUNCTION("IMPORTRANGE(""https://docs.google.com/spreadsheets/d/11923uPwbBZFjjGgGUA6NLw09EwE0CqkOc4q9oUmW1yo/edit?usp=sharing"",""อุทัยธานี!I516"")"),0)</f>
        <v>0</v>
      </c>
      <c r="J621" s="202">
        <f ca="1">IFERROR(__xludf.DUMMYFUNCTION("IMPORTRANGE(""https://docs.google.com/spreadsheets/d/11923uPwbBZFjjGgGUA6NLw09EwE0CqkOc4q9oUmW1yo/edit?usp=sharing"",""อุทัยธานี!J516"")"),0)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IFERROR(__xludf.DUMMYFUNCTION("IMPORTRANGE(""https://docs.google.com/spreadsheets/d/11923uPwbBZFjjGgGUA6NLw09EwE0CqkOc4q9oUmW1yo/edit?usp=sharing"",""อุทัยธานี!I517"")"),0)</f>
        <v>0</v>
      </c>
      <c r="J622" s="188">
        <f ca="1">IFERROR(__xludf.DUMMYFUNCTION("IMPORTRANGE(""https://docs.google.com/spreadsheets/d/11923uPwbBZFjjGgGUA6NLw09EwE0CqkOc4q9oUmW1yo/edit?usp=sharing"",""อุทัยธานี!J517"")"),0)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IFERROR(__xludf.DUMMYFUNCTION("IMPORTRANGE(""https://docs.google.com/spreadsheets/d/11923uPwbBZFjjGgGUA6NLw09EwE0CqkOc4q9oUmW1yo/edit?usp=sharing"",""อุทัยธานี!I518"")"),0)</f>
        <v>0</v>
      </c>
      <c r="J623" s="188">
        <f ca="1">IFERROR(__xludf.DUMMYFUNCTION("IMPORTRANGE(""https://docs.google.com/spreadsheets/d/11923uPwbBZFjjGgGUA6NLw09EwE0CqkOc4q9oUmW1yo/edit?usp=sharing"",""อุทัยธานี!J518"")"),0)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IFERROR(__xludf.DUMMYFUNCTION("IMPORTRANGE(""https://docs.google.com/spreadsheets/d/11923uPwbBZFjjGgGUA6NLw09EwE0CqkOc4q9oUmW1yo/edit?usp=sharing"",""อุทัยธานี!I519"")"),0)</f>
        <v>0</v>
      </c>
      <c r="J624" s="187">
        <f ca="1">IFERROR(__xludf.DUMMYFUNCTION("IMPORTRANGE(""https://docs.google.com/spreadsheets/d/11923uPwbBZFjjGgGUA6NLw09EwE0CqkOc4q9oUmW1yo/edit?usp=sharing"",""อุทัยธานี!J519"")"),0)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IFERROR(__xludf.DUMMYFUNCTION("IMPORTRANGE(""https://docs.google.com/spreadsheets/d/11923uPwbBZFjjGgGUA6NLw09EwE0CqkOc4q9oUmW1yo/edit?usp=sharing"",""อุทัยธานี!I520"")"),0)</f>
        <v>0</v>
      </c>
      <c r="J625" s="188">
        <f ca="1">IFERROR(__xludf.DUMMYFUNCTION("IMPORTRANGE(""https://docs.google.com/spreadsheets/d/11923uPwbBZFjjGgGUA6NLw09EwE0CqkOc4q9oUmW1yo/edit?usp=sharing"",""อุทัยธานี!J520"")"),0)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IFERROR(__xludf.DUMMYFUNCTION("IMPORTRANGE(""https://docs.google.com/spreadsheets/d/11923uPwbBZFjjGgGUA6NLw09EwE0CqkOc4q9oUmW1yo/edit?usp=sharing"",""อุทัยธานี!I521"")"),0)</f>
        <v>0</v>
      </c>
      <c r="J626" s="188">
        <f ca="1">IFERROR(__xludf.DUMMYFUNCTION("IMPORTRANGE(""https://docs.google.com/spreadsheets/d/11923uPwbBZFjjGgGUA6NLw09EwE0CqkOc4q9oUmW1yo/edit?usp=sharing"",""อุทัยธานี!J521"")"),0)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IFERROR(__xludf.DUMMYFUNCTION("IMPORTRANGE(""https://docs.google.com/spreadsheets/d/11923uPwbBZFjjGgGUA6NLw09EwE0CqkOc4q9oUmW1yo/edit?usp=sharing"",""อุทัยธานี!I523"")"),1621320.27)</f>
        <v>1621320.27</v>
      </c>
      <c r="J628" s="341">
        <f ca="1">IFERROR(__xludf.DUMMYFUNCTION("IMPORTRANGE(""https://docs.google.com/spreadsheets/d/11923uPwbBZFjjGgGUA6NLw09EwE0CqkOc4q9oUmW1yo/edit?usp=sharing"",""อุทัยธานี!J523"")"),1481432.05)</f>
        <v>1481432.05</v>
      </c>
      <c r="K628" s="342">
        <f t="shared" ref="K628:K635" ca="1" si="129">IF(I628&gt;0,J628*100/I628,0)</f>
        <v>91.37195638712393</v>
      </c>
      <c r="L628" s="342"/>
      <c r="M628" s="342"/>
      <c r="N628" s="342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IFERROR(__xludf.DUMMYFUNCTION("IMPORTRANGE(""https://docs.google.com/spreadsheets/d/11923uPwbBZFjjGgGUA6NLw09EwE0CqkOc4q9oUmW1yo/edit?usp=sharing"",""อุทัยธานี!I524"")"),108)</f>
        <v>108</v>
      </c>
      <c r="J629" s="341">
        <f ca="1">IFERROR(__xludf.DUMMYFUNCTION("IMPORTRANGE(""https://docs.google.com/spreadsheets/d/11923uPwbBZFjjGgGUA6NLw09EwE0CqkOc4q9oUmW1yo/edit?usp=sharing"",""อุทัยธานี!J524"")"),105)</f>
        <v>105</v>
      </c>
      <c r="K629" s="342">
        <f t="shared" ca="1" si="129"/>
        <v>97.222222222222229</v>
      </c>
      <c r="L629" s="342"/>
      <c r="M629" s="342"/>
      <c r="N629" s="342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IFERROR(__xludf.DUMMYFUNCTION("IMPORTRANGE(""https://docs.google.com/spreadsheets/d/11923uPwbBZFjjGgGUA6NLw09EwE0CqkOc4q9oUmW1yo/edit?usp=sharing"",""อุทัยธานี!I525"")"),12295447.98)</f>
        <v>12295447.98</v>
      </c>
      <c r="J630" s="341">
        <f ca="1">IFERROR(__xludf.DUMMYFUNCTION("IMPORTRANGE(""https://docs.google.com/spreadsheets/d/11923uPwbBZFjjGgGUA6NLw09EwE0CqkOc4q9oUmW1yo/edit?usp=sharing"",""อุทัยธานี!J525"")"),2027439.85)</f>
        <v>2027439.85</v>
      </c>
      <c r="K630" s="342">
        <f t="shared" ca="1" si="129"/>
        <v>16.489353241117122</v>
      </c>
      <c r="L630" s="342"/>
      <c r="M630" s="342"/>
      <c r="N630" s="342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IFERROR(__xludf.DUMMYFUNCTION("IMPORTRANGE(""https://docs.google.com/spreadsheets/d/11923uPwbBZFjjGgGUA6NLw09EwE0CqkOc4q9oUmW1yo/edit?usp=sharing"",""อุทัยธานี!I526"")"),678)</f>
        <v>678</v>
      </c>
      <c r="J631" s="341">
        <f ca="1">IFERROR(__xludf.DUMMYFUNCTION("IMPORTRANGE(""https://docs.google.com/spreadsheets/d/11923uPwbBZFjjGgGUA6NLw09EwE0CqkOc4q9oUmW1yo/edit?usp=sharing"",""อุทัยธานี!J526"")"),293)</f>
        <v>293</v>
      </c>
      <c r="K631" s="342">
        <f t="shared" ca="1" si="129"/>
        <v>43.21533923303835</v>
      </c>
      <c r="L631" s="342"/>
      <c r="M631" s="342"/>
      <c r="N631" s="342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IFERROR(__xludf.DUMMYFUNCTION("IMPORTRANGE(""https://docs.google.com/spreadsheets/d/11923uPwbBZFjjGgGUA6NLw09EwE0CqkOc4q9oUmW1yo/edit?usp=sharing"",""อุทัยธานี!I527"")"),3981171.91)</f>
        <v>3981171.91</v>
      </c>
      <c r="J632" s="341">
        <f ca="1">IFERROR(__xludf.DUMMYFUNCTION("IMPORTRANGE(""https://docs.google.com/spreadsheets/d/11923uPwbBZFjjGgGUA6NLw09EwE0CqkOc4q9oUmW1yo/edit?usp=sharing"",""อุทัยธานี!J527"")"),1312079.33)</f>
        <v>1312079.33</v>
      </c>
      <c r="K632" s="342">
        <f t="shared" ca="1" si="129"/>
        <v>32.95711312300503</v>
      </c>
      <c r="L632" s="342"/>
      <c r="M632" s="342"/>
      <c r="N632" s="342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IFERROR(__xludf.DUMMYFUNCTION("IMPORTRANGE(""https://docs.google.com/spreadsheets/d/11923uPwbBZFjjGgGUA6NLw09EwE0CqkOc4q9oUmW1yo/edit?usp=sharing"",""อุทัยธานี!I528"")"),248)</f>
        <v>248</v>
      </c>
      <c r="J633" s="341">
        <f ca="1">IFERROR(__xludf.DUMMYFUNCTION("IMPORTRANGE(""https://docs.google.com/spreadsheets/d/11923uPwbBZFjjGgGUA6NLw09EwE0CqkOc4q9oUmW1yo/edit?usp=sharing"",""อุทัยธานี!J528"")"),164)</f>
        <v>164</v>
      </c>
      <c r="K633" s="342">
        <f t="shared" ca="1" si="129"/>
        <v>66.129032258064512</v>
      </c>
      <c r="L633" s="342"/>
      <c r="M633" s="342"/>
      <c r="N633" s="342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IFERROR(__xludf.DUMMYFUNCTION("IMPORTRANGE(""https://docs.google.com/spreadsheets/d/11923uPwbBZFjjGgGUA6NLw09EwE0CqkOc4q9oUmW1yo/edit?usp=sharing"",""อุทัยธานี!I529"")"),2000000)</f>
        <v>2000000</v>
      </c>
      <c r="J634" s="341">
        <f ca="1">IFERROR(__xludf.DUMMYFUNCTION("IMPORTRANGE(""https://docs.google.com/spreadsheets/d/11923uPwbBZFjjGgGUA6NLw09EwE0CqkOc4q9oUmW1yo/edit?usp=sharing"",""อุทัยธานี!J529"")"),2000000)</f>
        <v>2000000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IFERROR(__xludf.DUMMYFUNCTION("IMPORTRANGE(""https://docs.google.com/spreadsheets/d/11923uPwbBZFjjGgGUA6NLw09EwE0CqkOc4q9oUmW1yo/edit?usp=sharing"",""อุทัยธานี!I530"")"),96)</f>
        <v>96</v>
      </c>
      <c r="J635" s="504">
        <f ca="1">IFERROR(__xludf.DUMMYFUNCTION("IMPORTRANGE(""https://docs.google.com/spreadsheets/d/11923uPwbBZFjjGgGUA6NLw09EwE0CqkOc4q9oUmW1yo/edit?usp=sharing"",""อุทัยธานี!J530"")"),100)</f>
        <v>100</v>
      </c>
      <c r="K635" s="486">
        <f t="shared" ca="1" si="129"/>
        <v>104.16666666666667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38160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5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38160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38160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5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IFERROR(__xludf.DUMMYFUNCTION("IMPORTRANGE(""https://docs.google.com/spreadsheets/d/11923uPwbBZFjjGgGUA6NLw09EwE0CqkOc4q9oUmW1yo/edit?usp=sharing"",""อุทัยธานี!J541"")"),0)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5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IFERROR(__xludf.DUMMYFUNCTION("IMPORTRANGE(""https://docs.google.com/spreadsheets/d/11923uPwbBZFjjGgGUA6NLw09EwE0CqkOc4q9oUmW1yo/edit?usp=sharing"",""อุทัยธานี!J542"")"),0)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5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IFERROR(__xludf.DUMMYFUNCTION("IMPORTRANGE(""https://docs.google.com/spreadsheets/d/11923uPwbBZFjjGgGUA6NLw09EwE0CqkOc4q9oUmW1yo/edit?usp=sharing"",""อุทัยธานี!I543"")"),0)</f>
        <v>0</v>
      </c>
      <c r="J648" s="535">
        <f ca="1">IFERROR(__xludf.DUMMYFUNCTION("IMPORTRANGE(""https://docs.google.com/spreadsheets/d/11923uPwbBZFjjGgGUA6NLw09EwE0CqkOc4q9oUmW1yo/edit?usp=sharing"",""อุทัยธานี!J543"")"),0)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IFERROR(__xludf.DUMMYFUNCTION("IMPORTRANGE(""https://docs.google.com/spreadsheets/d/11923uPwbBZFjjGgGUA6NLw09EwE0CqkOc4q9oUmW1yo/edit?usp=sharing"",""อุทัยธานี!L543"")"),0)</f>
        <v>0</v>
      </c>
      <c r="M648" s="520"/>
      <c r="N648" s="537">
        <f ca="1">IFERROR(__xludf.DUMMYFUNCTION("IMPORTRANGE(""https://docs.google.com/spreadsheets/d/11923uPwbBZFjjGgGUA6NLw09EwE0CqkOc4q9oUmW1yo/edit?usp=sharing"",""อุทัยธานี!M543"")"),0)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5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IFERROR(__xludf.DUMMYFUNCTION("IMPORTRANGE(""https://docs.google.com/spreadsheets/d/11923uPwbBZFjjGgGUA6NLw09EwE0CqkOc4q9oUmW1yo/edit?usp=sharing"",""อุทัยธานี!I544"")"),0)</f>
        <v>0</v>
      </c>
      <c r="J649" s="535">
        <f ca="1">IFERROR(__xludf.DUMMYFUNCTION("IMPORTRANGE(""https://docs.google.com/spreadsheets/d/11923uPwbBZFjjGgGUA6NLw09EwE0CqkOc4q9oUmW1yo/edit?usp=sharing"",""อุทัยธานี!J544"")"),0)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IFERROR(__xludf.DUMMYFUNCTION("IMPORTRANGE(""https://docs.google.com/spreadsheets/d/11923uPwbBZFjjGgGUA6NLw09EwE0CqkOc4q9oUmW1yo/edit?usp=sharing"",""อุทัยธานี!L544"")"),0)</f>
        <v>0</v>
      </c>
      <c r="M649" s="520"/>
      <c r="N649" s="537">
        <f ca="1">IFERROR(__xludf.DUMMYFUNCTION("IMPORTRANGE(""https://docs.google.com/spreadsheets/d/11923uPwbBZFjjGgGUA6NLw09EwE0CqkOc4q9oUmW1yo/edit?usp=sharing"",""อุทัยธานี!M544"")"),0)</f>
        <v>0</v>
      </c>
      <c r="O649" s="536">
        <f t="shared" ca="1" si="132"/>
        <v>0</v>
      </c>
      <c r="P649" s="536"/>
    </row>
    <row r="650" spans="1:16" ht="21.75" customHeight="1" x14ac:dyDescent="0.45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IFERROR(__xludf.DUMMYFUNCTION("IMPORTRANGE(""https://docs.google.com/spreadsheets/d/11923uPwbBZFjjGgGUA6NLw09EwE0CqkOc4q9oUmW1yo/edit?usp=sharing"",""อุทัยธานี!I545"")"),115)</f>
        <v>115</v>
      </c>
      <c r="J650" s="535">
        <f ca="1">IFERROR(__xludf.DUMMYFUNCTION("IMPORTRANGE(""https://docs.google.com/spreadsheets/d/11923uPwbBZFjjGgGUA6NLw09EwE0CqkOc4q9oUmW1yo/edit?usp=sharing"",""อุทัยธานี!J545"")"),28.38)</f>
        <v>28.38</v>
      </c>
      <c r="K650" s="536">
        <f t="shared" ca="1" si="131"/>
        <v>24.678260869565218</v>
      </c>
      <c r="L650" s="521">
        <f ca="1">IFERROR(__xludf.DUMMYFUNCTION("IMPORTRANGE(""https://docs.google.com/spreadsheets/d/11923uPwbBZFjjGgGUA6NLw09EwE0CqkOc4q9oUmW1yo/edit?usp=sharing"",""อุทัยธานี!L545"")"),575)</f>
        <v>575</v>
      </c>
      <c r="M650" s="520"/>
      <c r="N650" s="537">
        <f ca="1">IFERROR(__xludf.DUMMYFUNCTION("IMPORTRANGE(""https://docs.google.com/spreadsheets/d/11923uPwbBZFjjGgGUA6NLw09EwE0CqkOc4q9oUmW1yo/edit?usp=sharing"",""อุทัยธานี!M545"")"),0)</f>
        <v>0</v>
      </c>
      <c r="O650" s="536">
        <f t="shared" ca="1" si="132"/>
        <v>0</v>
      </c>
      <c r="P650" s="536"/>
    </row>
    <row r="651" spans="1:16" ht="21.75" customHeight="1" x14ac:dyDescent="0.45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IFERROR(__xludf.DUMMYFUNCTION("IMPORTRANGE(""https://docs.google.com/spreadsheets/d/11923uPwbBZFjjGgGUA6NLw09EwE0CqkOc4q9oUmW1yo/edit?usp=sharing"",""อุทัยธานี!I546"")"),185)</f>
        <v>185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IFERROR(__xludf.DUMMYFUNCTION("IMPORTRANGE(""https://docs.google.com/spreadsheets/d/11923uPwbBZFjjGgGUA6NLw09EwE0CqkOc4q9oUmW1yo/edit?usp=sharing"",""อุทัยธานี!L546"")"),4625)</f>
        <v>4625</v>
      </c>
      <c r="M651" s="520"/>
      <c r="N651" s="537">
        <f ca="1">IFERROR(__xludf.DUMMYFUNCTION("IMPORTRANGE(""https://docs.google.com/spreadsheets/d/11923uPwbBZFjjGgGUA6NLw09EwE0CqkOc4q9oUmW1yo/edit?usp=sharing"",""อุทัยธานี!M546"")"),0)</f>
        <v>0</v>
      </c>
      <c r="O651" s="536">
        <f t="shared" ca="1" si="132"/>
        <v>0</v>
      </c>
      <c r="P651" s="536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IFERROR(__xludf.DUMMYFUNCTION("IMPORTRANGE(""https://docs.google.com/spreadsheets/d/11923uPwbBZFjjGgGUA6NLw09EwE0CqkOc4q9oUmW1yo/edit?usp=sharing"",""อุทัยธานี!J547"")"),0)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IFERROR(__xludf.DUMMYFUNCTION("IMPORTRANGE(""https://docs.google.com/spreadsheets/d/11923uPwbBZFjjGgGUA6NLw09EwE0CqkOc4q9oUmW1yo/edit?usp=sharing"",""อุทัยธานี!J548"")"),0)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IFERROR(__xludf.DUMMYFUNCTION("IMPORTRANGE(""https://docs.google.com/spreadsheets/d/11923uPwbBZFjjGgGUA6NLw09EwE0CqkOc4q9oUmW1yo/edit?usp=sharing"",""อุทัยธานี!J550"")"),0)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IFERROR(__xludf.DUMMYFUNCTION("IMPORTRANGE(""https://docs.google.com/spreadsheets/d/11923uPwbBZFjjGgGUA6NLw09EwE0CqkOc4q9oUmW1yo/edit?usp=sharing"",""อุทัยธานี!J551"")"),0)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IFERROR(__xludf.DUMMYFUNCTION("IMPORTRANGE(""https://docs.google.com/spreadsheets/d/11923uPwbBZFjjGgGUA6NLw09EwE0CqkOc4q9oUmW1yo/edit?usp=sharing"",""อุทัยธานี!J552"")"),0)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IFERROR(__xludf.DUMMYFUNCTION("IMPORTRANGE(""https://docs.google.com/spreadsheets/d/11923uPwbBZFjjGgGUA6NLw09EwE0CqkOc4q9oUmW1yo/edit?usp=sharing"",""อุทัยธานี!J553"")"),0)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IFERROR(__xludf.DUMMYFUNCTION("IMPORTRANGE(""https://docs.google.com/spreadsheets/d/11923uPwbBZFjjGgGUA6NLw09EwE0CqkOc4q9oUmW1yo/edit?usp=sharing"",""อุทัยธานี!J554"")"),0)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IFERROR(__xludf.DUMMYFUNCTION("IMPORTRANGE(""https://docs.google.com/spreadsheets/d/11923uPwbBZFjjGgGUA6NLw09EwE0CqkOc4q9oUmW1yo/edit?usp=sharing"",""อุทัยธานี!J555"")"),0)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5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IFERROR(__xludf.DUMMYFUNCTION("IMPORTRANGE(""https://docs.google.com/spreadsheets/d/11923uPwbBZFjjGgGUA6NLw09EwE0CqkOc4q9oUmW1yo/edit?usp=sharing"",""อุทัยธานี!J556"")"),28)</f>
        <v>28</v>
      </c>
      <c r="K661" s="536"/>
      <c r="L661" s="521">
        <f ca="1">IFERROR(__xludf.DUMMYFUNCTION("IMPORTRANGE(""https://docs.google.com/spreadsheets/d/11923uPwbBZFjjGgGUA6NLw09EwE0CqkOc4q9oUmW1yo/edit?usp=sharing"",""อุทัยธานี!L556"")"),19920)</f>
        <v>19920</v>
      </c>
      <c r="M661" s="520"/>
      <c r="N661" s="537">
        <f ca="1">IFERROR(__xludf.DUMMYFUNCTION("IMPORTRANGE(""https://docs.google.com/spreadsheets/d/11923uPwbBZFjjGgGUA6NLw09EwE0CqkOc4q9oUmW1yo/edit?usp=sharing"",""อุทัยธานี!M556"")"),0)</f>
        <v>0</v>
      </c>
      <c r="O661" s="536">
        <f ca="1">IF(L661&gt;0,N661*100/L661,0)</f>
        <v>0</v>
      </c>
      <c r="P661" s="536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IFERROR(__xludf.DUMMYFUNCTION("IMPORTRANGE(""https://docs.google.com/spreadsheets/d/11923uPwbBZFjjGgGUA6NLw09EwE0CqkOc4q9oUmW1yo/edit?usp=sharing"",""อุทัยธานี!J557"")"),29)</f>
        <v>29</v>
      </c>
      <c r="K662" s="536"/>
      <c r="L662" s="528"/>
      <c r="M662" s="520"/>
      <c r="N662" s="528"/>
      <c r="O662" s="518"/>
      <c r="P662" s="51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IFERROR(__xludf.DUMMYFUNCTION("IMPORTRANGE(""https://docs.google.com/spreadsheets/d/11923uPwbBZFjjGgGUA6NLw09EwE0CqkOc4q9oUmW1yo/edit?usp=sharing"",""อุทัยธานี!I558"")"),498)</f>
        <v>498</v>
      </c>
      <c r="J663" s="535">
        <f ca="1">IFERROR(__xludf.DUMMYFUNCTION("IMPORTRANGE(""https://docs.google.com/spreadsheets/d/11923uPwbBZFjjGgGUA6NLw09EwE0CqkOc4q9oUmW1yo/edit?usp=sharing"",""อุทัยธานี!J558"")"),485.51)</f>
        <v>485.51</v>
      </c>
      <c r="K663" s="536">
        <f ca="1">IF(I663&gt;0,J663*100/I663,0)</f>
        <v>97.49196787148594</v>
      </c>
      <c r="L663" s="528"/>
      <c r="M663" s="520"/>
      <c r="N663" s="528"/>
      <c r="O663" s="518"/>
      <c r="P663" s="518"/>
    </row>
    <row r="664" spans="1:16" ht="21.75" customHeight="1" x14ac:dyDescent="0.45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IFERROR(__xludf.DUMMYFUNCTION("IMPORTRANGE(""https://docs.google.com/spreadsheets/d/11923uPwbBZFjjGgGUA6NLw09EwE0CqkOc4q9oUmW1yo/edit?usp=sharing"",""อุทัยธานี!I560"")"),6)</f>
        <v>6</v>
      </c>
      <c r="J665" s="535">
        <f ca="1">IFERROR(__xludf.DUMMYFUNCTION("IMPORTRANGE(""https://docs.google.com/spreadsheets/d/11923uPwbBZFjjGgGUA6NLw09EwE0CqkOc4q9oUmW1yo/edit?usp=sharing"",""อุทัยธานี!J560"")"),4)</f>
        <v>4</v>
      </c>
      <c r="K665" s="536">
        <f ca="1">IF(I665&gt;0,J665*100/I665,0)</f>
        <v>66.666666666666671</v>
      </c>
      <c r="L665" s="521">
        <f ca="1">IFERROR(__xludf.DUMMYFUNCTION("IMPORTRANGE(""https://docs.google.com/spreadsheets/d/11923uPwbBZFjjGgGUA6NLw09EwE0CqkOc4q9oUmW1yo/edit?usp=sharing"",""อุทัยธานี!L560"")"),720)</f>
        <v>720</v>
      </c>
      <c r="M665" s="520"/>
      <c r="N665" s="537">
        <f ca="1">IFERROR(__xludf.DUMMYFUNCTION("IMPORTRANGE(""https://docs.google.com/spreadsheets/d/11923uPwbBZFjjGgGUA6NLw09EwE0CqkOc4q9oUmW1yo/edit?usp=sharing"",""อุทัยธานี!M560"")"),0)</f>
        <v>0</v>
      </c>
      <c r="O665" s="536">
        <f ca="1">IF(L665&gt;0,N665*100/L665,0)</f>
        <v>0</v>
      </c>
      <c r="P665" s="536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IFERROR(__xludf.DUMMYFUNCTION("IMPORTRANGE(""https://docs.google.com/spreadsheets/d/11923uPwbBZFjjGgGUA6NLw09EwE0CqkOc4q9oUmW1yo/edit?usp=sharing"",""อุทัยธานี!J561"")"),4)</f>
        <v>4</v>
      </c>
      <c r="K666" s="536"/>
      <c r="L666" s="528"/>
      <c r="M666" s="520"/>
      <c r="N666" s="528"/>
      <c r="O666" s="518"/>
      <c r="P666" s="51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IFERROR(__xludf.DUMMYFUNCTION("IMPORTRANGE(""https://docs.google.com/spreadsheets/d/11923uPwbBZFjjGgGUA6NLw09EwE0CqkOc4q9oUmW1yo/edit?usp=sharing"",""อุทัยธานี!J562"")"),88.61)</f>
        <v>88.61</v>
      </c>
      <c r="K667" s="536"/>
      <c r="L667" s="528"/>
      <c r="M667" s="520"/>
      <c r="N667" s="528"/>
      <c r="O667" s="518"/>
      <c r="P667" s="51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IFERROR(__xludf.DUMMYFUNCTION("IMPORTRANGE(""https://docs.google.com/spreadsheets/d/11923uPwbBZFjjGgGUA6NLw09EwE0CqkOc4q9oUmW1yo/edit?usp=sharing"",""อุทัยธานี!I563"")"),6)</f>
        <v>6</v>
      </c>
      <c r="J668" s="535">
        <f ca="1">IFERROR(__xludf.DUMMYFUNCTION("IMPORTRANGE(""https://docs.google.com/spreadsheets/d/11923uPwbBZFjjGgGUA6NLw09EwE0CqkOc4q9oUmW1yo/edit?usp=sharing"",""อุทัยธานี!J563"")"),0)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IFERROR(__xludf.DUMMYFUNCTION("IMPORTRANGE(""https://docs.google.com/spreadsheets/d/11923uPwbBZFjjGgGUA6NLw09EwE0CqkOc4q9oUmW1yo/edit?usp=sharing"",""อุทัยธานี!L563"")"),5280)</f>
        <v>5280</v>
      </c>
      <c r="M668" s="520"/>
      <c r="N668" s="537">
        <f ca="1">IFERROR(__xludf.DUMMYFUNCTION("IMPORTRANGE(""https://docs.google.com/spreadsheets/d/11923uPwbBZFjjGgGUA6NLw09EwE0CqkOc4q9oUmW1yo/edit?usp=sharing"",""อุทัยธานี!M563"")"),0)</f>
        <v>0</v>
      </c>
      <c r="O668" s="536">
        <f ca="1">IF(L668&gt;0,N668*100/L668,0)</f>
        <v>0</v>
      </c>
      <c r="P668" s="536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IFERROR(__xludf.DUMMYFUNCTION("IMPORTRANGE(""https://docs.google.com/spreadsheets/d/11923uPwbBZFjjGgGUA6NLw09EwE0CqkOc4q9oUmW1yo/edit?usp=sharing"",""อุทัยธานี!J564"")"),0)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IFERROR(__xludf.DUMMYFUNCTION("IMPORTRANGE(""https://docs.google.com/spreadsheets/d/11923uPwbBZFjjGgGUA6NLw09EwE0CqkOc4q9oUmW1yo/edit?usp=sharing"",""อุทัยธานี!J565"")"),0)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5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IFERROR(__xludf.DUMMYFUNCTION("IMPORTRANGE(""https://docs.google.com/spreadsheets/d/11923uPwbBZFjjGgGUA6NLw09EwE0CqkOc4q9oUmW1yo/edit?usp=sharing"",""อุทัยธานี!I566"")"),88)</f>
        <v>88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IFERROR(__xludf.DUMMYFUNCTION("IMPORTRANGE(""https://docs.google.com/spreadsheets/d/11923uPwbBZFjjGgGUA6NLw09EwE0CqkOc4q9oUmW1yo/edit?usp=sharing"",""อุทัยธานี!L566"")"),7040)</f>
        <v>7040</v>
      </c>
      <c r="M671" s="520"/>
      <c r="N671" s="537">
        <f ca="1">IFERROR(__xludf.DUMMYFUNCTION("IMPORTRANGE(""https://docs.google.com/spreadsheets/d/11923uPwbBZFjjGgGUA6NLw09EwE0CqkOc4q9oUmW1yo/edit?usp=sharing"",""อุทัยธานี!M566"")"),0)</f>
        <v>0</v>
      </c>
      <c r="O671" s="536">
        <f ca="1">IF(L671&gt;0,N671*100/L671,0)</f>
        <v>0</v>
      </c>
      <c r="P671" s="536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IFERROR(__xludf.DUMMYFUNCTION("IMPORTRANGE(""https://docs.google.com/spreadsheets/d/11923uPwbBZFjjGgGUA6NLw09EwE0CqkOc4q9oUmW1yo/edit?usp=sharing"",""อุทัยธานี!J567"")"),0)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IFERROR(__xludf.DUMMYFUNCTION("IMPORTRANGE(""https://docs.google.com/spreadsheets/d/11923uPwbBZFjjGgGUA6NLw09EwE0CqkOc4q9oUmW1yo/edit?usp=sharing"",""อุทัยธานี!J568"")"),0)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IFERROR(__xludf.DUMMYFUNCTION("IMPORTRANGE(""https://docs.google.com/spreadsheets/d/11923uPwbBZFjjGgGUA6NLw09EwE0CqkOc4q9oUmW1yo/edit?usp=sharing"",""อุทัยธานี!J569"")"),0)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IFERROR(__xludf.DUMMYFUNCTION("IMPORTRANGE(""https://docs.google.com/spreadsheets/d/11923uPwbBZFjjGgGUA6NLw09EwE0CqkOc4q9oUmW1yo/edit?usp=sharing"",""อุทัยธานี!J570"")"),0)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IFERROR(__xludf.DUMMYFUNCTION("IMPORTRANGE(""https://docs.google.com/spreadsheets/d/11923uPwbBZFjjGgGUA6NLw09EwE0CqkOc4q9oUmW1yo/edit?usp=sharing"",""อุทัยธานี!J571"")"),0)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5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IFERROR(__xludf.DUMMYFUNCTION("IMPORTRANGE(""https://docs.google.com/spreadsheets/d/11923uPwbBZFjjGgGUA6NLw09EwE0CqkOc4q9oUmW1yo/edit?usp=sharing"",""อุทัยธานี!J572"")"),0)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35">
      <c r="A2" s="577" t="s">
        <v>260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3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7384531</v>
      </c>
      <c r="M8" s="23">
        <f t="shared" ca="1" si="0"/>
        <v>3211222</v>
      </c>
      <c r="N8" s="23">
        <f t="shared" ca="1" si="0"/>
        <v>3012379.3600000003</v>
      </c>
      <c r="O8" s="22">
        <f t="shared" ref="O8:O16" ca="1" si="1">IF(L8&gt;0,N8*100/L8,0)</f>
        <v>40.793103312857653</v>
      </c>
      <c r="P8" s="22">
        <f t="shared" ref="P8:P16" ca="1" si="2">IF(M8&gt;0,N8*100/M8,0)</f>
        <v>93.807882482120533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7384531</v>
      </c>
      <c r="M10" s="30">
        <f t="shared" ca="1" si="4"/>
        <v>3211222</v>
      </c>
      <c r="N10" s="30">
        <f t="shared" ca="1" si="4"/>
        <v>3012379.3600000003</v>
      </c>
      <c r="O10" s="29">
        <f t="shared" ca="1" si="1"/>
        <v>40.793103312857653</v>
      </c>
      <c r="P10" s="29">
        <f t="shared" ca="1" si="2"/>
        <v>93.807882482120533</v>
      </c>
    </row>
    <row r="11" spans="1:16" ht="21.75" customHeight="1" x14ac:dyDescent="0.45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7384531</v>
      </c>
      <c r="M12" s="39">
        <f t="shared" ca="1" si="6"/>
        <v>3211222</v>
      </c>
      <c r="N12" s="39">
        <f t="shared" ca="1" si="6"/>
        <v>3012379.3600000003</v>
      </c>
      <c r="O12" s="39">
        <f t="shared" ca="1" si="1"/>
        <v>40.793103312857653</v>
      </c>
      <c r="P12" s="39">
        <f t="shared" ca="1" si="2"/>
        <v>93.807882482120533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2181000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5203531</v>
      </c>
      <c r="M14" s="39">
        <f t="shared" si="8"/>
        <v>0</v>
      </c>
      <c r="N14" s="39">
        <f t="shared" ca="1" si="8"/>
        <v>768755.45000000007</v>
      </c>
      <c r="O14" s="39">
        <f t="shared" ca="1" si="1"/>
        <v>14.773726725179499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0</v>
      </c>
      <c r="M16" s="39">
        <f t="shared" si="10"/>
        <v>0</v>
      </c>
      <c r="N16" s="39">
        <f t="shared" ca="1" si="10"/>
        <v>0</v>
      </c>
      <c r="O16" s="50">
        <f t="shared" ca="1" si="1"/>
        <v>0</v>
      </c>
      <c r="P16" s="50">
        <f t="shared" si="2"/>
        <v>0</v>
      </c>
    </row>
    <row r="17" spans="1:16" ht="21.75" customHeight="1" x14ac:dyDescent="0.45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3983895</v>
      </c>
      <c r="M18" s="23">
        <f t="shared" ca="1" si="11"/>
        <v>3211222</v>
      </c>
      <c r="N18" s="23">
        <f t="shared" ca="1" si="11"/>
        <v>2243623.91</v>
      </c>
      <c r="O18" s="22">
        <f t="shared" ref="O18:O20" ca="1" si="12">IF(L18&gt;0,N18*100/L18,0)</f>
        <v>56.317345462167047</v>
      </c>
      <c r="P18" s="22">
        <f t="shared" ref="P18:P26" ca="1" si="13">IF(M18&gt;0,N18*100/M18,0)</f>
        <v>69.868228045273725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3983895</v>
      </c>
      <c r="M20" s="30">
        <f t="shared" ca="1" si="15"/>
        <v>3211222</v>
      </c>
      <c r="N20" s="30">
        <f t="shared" ca="1" si="15"/>
        <v>2243623.91</v>
      </c>
      <c r="O20" s="29">
        <f t="shared" ca="1" si="12"/>
        <v>56.317345462167047</v>
      </c>
      <c r="P20" s="29">
        <f t="shared" ca="1" si="13"/>
        <v>69.868228045273725</v>
      </c>
    </row>
    <row r="21" spans="1:16" ht="21.75" customHeight="1" x14ac:dyDescent="0.45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3983895</v>
      </c>
      <c r="M22" s="42">
        <f t="shared" ca="1" si="18"/>
        <v>3211222</v>
      </c>
      <c r="N22" s="39">
        <f t="shared" ca="1" si="18"/>
        <v>2243623.91</v>
      </c>
      <c r="O22" s="39">
        <f t="shared" ca="1" si="17"/>
        <v>56.317345462167047</v>
      </c>
      <c r="P22" s="39">
        <f t="shared" ca="1" si="13"/>
        <v>69.868228045273725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2181000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1802895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0</v>
      </c>
      <c r="M26" s="50">
        <f t="shared" si="22"/>
        <v>0</v>
      </c>
      <c r="N26" s="50">
        <f t="shared" ca="1" si="22"/>
        <v>0</v>
      </c>
      <c r="O26" s="50">
        <f t="shared" ca="1" si="17"/>
        <v>0</v>
      </c>
      <c r="P26" s="50">
        <f t="shared" si="13"/>
        <v>0</v>
      </c>
    </row>
    <row r="27" spans="1:16" ht="21.75" customHeight="1" x14ac:dyDescent="0.45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3400636</v>
      </c>
      <c r="M28" s="23">
        <f t="shared" si="23"/>
        <v>0</v>
      </c>
      <c r="N28" s="23">
        <f t="shared" ca="1" si="23"/>
        <v>768755.45000000007</v>
      </c>
      <c r="O28" s="22">
        <f t="shared" ref="O28:O30" ca="1" si="24">IF(L28&gt;0,N28*100/L28,0)</f>
        <v>22.606225717777498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3400636</v>
      </c>
      <c r="M30" s="30">
        <f t="shared" si="27"/>
        <v>0</v>
      </c>
      <c r="N30" s="30">
        <f t="shared" ca="1" si="27"/>
        <v>768755.45000000007</v>
      </c>
      <c r="O30" s="29">
        <f t="shared" ca="1" si="24"/>
        <v>22.606225717777498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3400636</v>
      </c>
      <c r="M32" s="39">
        <f t="shared" si="30"/>
        <v>0</v>
      </c>
      <c r="N32" s="39">
        <f t="shared" ca="1" si="30"/>
        <v>768755.45000000007</v>
      </c>
      <c r="O32" s="39">
        <f t="shared" ca="1" si="29"/>
        <v>22.606225717777498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3400636</v>
      </c>
      <c r="M34" s="39">
        <f t="shared" si="32"/>
        <v>0</v>
      </c>
      <c r="N34" s="39">
        <f t="shared" ca="1" si="32"/>
        <v>768755.45000000007</v>
      </c>
      <c r="O34" s="39">
        <f t="shared" ca="1" si="29"/>
        <v>22.606225717777498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3983895</v>
      </c>
      <c r="M37" s="55">
        <f t="shared" ca="1" si="33"/>
        <v>3211222</v>
      </c>
      <c r="N37" s="55">
        <f t="shared" ca="1" si="33"/>
        <v>2243623.91</v>
      </c>
      <c r="O37" s="56">
        <f t="shared" ca="1" si="29"/>
        <v>56.317345462167047</v>
      </c>
      <c r="P37" s="56">
        <f t="shared" ca="1" si="25"/>
        <v>69.868228045273725</v>
      </c>
    </row>
    <row r="38" spans="1:16" ht="21.75" customHeight="1" x14ac:dyDescent="0.45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840900</v>
      </c>
      <c r="M41" s="79">
        <f t="shared" ca="1" si="34"/>
        <v>630700</v>
      </c>
      <c r="N41" s="79">
        <f t="shared" ca="1" si="34"/>
        <v>528959.38</v>
      </c>
      <c r="O41" s="78">
        <f t="shared" ref="O41:O43" ca="1" si="35">IF(L41&gt;0,N41*100/L41,0)</f>
        <v>62.90395766440718</v>
      </c>
      <c r="P41" s="78">
        <f t="shared" ref="P41:P43" ca="1" si="36">IF(M41&gt;0,N41*100/M41,0)</f>
        <v>83.868618994767715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840900</v>
      </c>
      <c r="M43" s="79">
        <f t="shared" ca="1" si="38"/>
        <v>630700</v>
      </c>
      <c r="N43" s="79">
        <f t="shared" ca="1" si="38"/>
        <v>528959.38</v>
      </c>
      <c r="O43" s="78">
        <f t="shared" ca="1" si="35"/>
        <v>62.90395766440718</v>
      </c>
      <c r="P43" s="78">
        <f t="shared" ca="1" si="36"/>
        <v>83.868618994767715</v>
      </c>
    </row>
    <row r="44" spans="1:16" ht="21.75" customHeight="1" x14ac:dyDescent="0.45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840900</v>
      </c>
      <c r="M45" s="50">
        <f ca="1">IFERROR(__xludf.DUMMYFUNCTION("IMPORTRANGE(""https://docs.google.com/spreadsheets/d/1Yj_ptqi66GCucihVvJfMjLAmec39IyEx_6qawtMGysU/edit?usp=sharing"",""สบก!Q20"")"),630700)</f>
        <v>630700</v>
      </c>
      <c r="N45" s="50">
        <f ca="1">IFERROR(__xludf.DUMMYFUNCTION("IMPORTRANGE(""https://docs.google.com/spreadsheets/d/1Yj_ptqi66GCucihVvJfMjLAmec39IyEx_6qawtMGysU/edit?usp=sharing"",""สบก!R20"")"),528959.38)</f>
        <v>528959.38</v>
      </c>
      <c r="O45" s="39">
        <f ca="1">IF(L45&gt;0,N45*100/L45,0)</f>
        <v>62.90395766440718</v>
      </c>
      <c r="P45" s="39">
        <f ca="1">IF(M45&gt;0,N45*100/M45,0)</f>
        <v>83.868618994767715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IFERROR(__xludf.DUMMYFUNCTION("IMPORTRANGE(""https://docs.google.com/spreadsheets/d/1Yj_ptqi66GCucihVvJfMjLAmec39IyEx_6qawtMGysU/edit?usp=sharing"",""สบก!M20"")"),840900)</f>
        <v>840900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IFERROR(__xludf.DUMMYFUNCTION("IMPORTRANGE(""https://docs.google.com/spreadsheets/d/1Yj_ptqi66GCucihVvJfMjLAmec39IyEx_6qawtMGysU/edit?usp=sharing"",""สบก!N20"")"),0)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IFERROR(__xludf.DUMMYFUNCTION("IMPORTRANGE(""https://docs.google.com/spreadsheets/d/1Yj_ptqi66GCucihVvJfMjLAmec39IyEx_6qawtMGysU/edit?usp=sharing"",""สบก!O20"")"),0)</f>
        <v>0</v>
      </c>
      <c r="M49" s="50"/>
      <c r="N49" s="50">
        <f ca="1">IFERROR(__xludf.DUMMYFUNCTION("IMPORTRANGE(""https://docs.google.com/spreadsheets/d/1Yj_ptqi66GCucihVvJfMjLAmec39IyEx_6qawtMGysU/edit?usp=sharing"",""สบก!S20"")"),0)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469000</v>
      </c>
      <c r="M53" s="121">
        <f t="shared" ca="1" si="39"/>
        <v>372032</v>
      </c>
      <c r="N53" s="121">
        <f t="shared" ca="1" si="39"/>
        <v>344879</v>
      </c>
      <c r="O53" s="120">
        <f t="shared" ref="O53:O55" ca="1" si="40">IF(L53&gt;0,N53*100/L53,0)</f>
        <v>73.534968017057565</v>
      </c>
      <c r="P53" s="120">
        <f t="shared" ref="P53:P55" ca="1" si="41">IF(M53&gt;0,N53*100/M53,0)</f>
        <v>92.701434285222774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469000</v>
      </c>
      <c r="M55" s="121">
        <f t="shared" ca="1" si="43"/>
        <v>372032</v>
      </c>
      <c r="N55" s="121">
        <f t="shared" ca="1" si="43"/>
        <v>344879</v>
      </c>
      <c r="O55" s="120">
        <f t="shared" ca="1" si="40"/>
        <v>73.534968017057565</v>
      </c>
      <c r="P55" s="120">
        <f t="shared" ca="1" si="41"/>
        <v>92.701434285222774</v>
      </c>
    </row>
    <row r="56" spans="1:16" ht="21.75" customHeight="1" x14ac:dyDescent="0.45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469000</v>
      </c>
      <c r="M57" s="50">
        <f ca="1">IFERROR(__xludf.DUMMYFUNCTION("IMPORTRANGE(""https://docs.google.com/spreadsheets/d/1Yj_ptqi66GCucihVvJfMjLAmec39IyEx_6qawtMGysU/edit?usp=sharing"",""สบก!Z20"")"),372032)</f>
        <v>372032</v>
      </c>
      <c r="N57" s="50">
        <f ca="1">IFERROR(__xludf.DUMMYFUNCTION("IMPORTRANGE(""https://docs.google.com/spreadsheets/d/1Yj_ptqi66GCucihVvJfMjLAmec39IyEx_6qawtMGysU/edit?usp=sharing"",""สบก!AA20"")"),344879)</f>
        <v>344879</v>
      </c>
      <c r="O57" s="39">
        <f ca="1">IF(L57&gt;0,N57*100/L57,0)</f>
        <v>73.534968017057565</v>
      </c>
      <c r="P57" s="39">
        <f ca="1">IF(M57&gt;0,N57*100/M57,0)</f>
        <v>92.701434285222774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IFERROR(__xludf.DUMMYFUNCTION("IMPORTRANGE(""https://docs.google.com/spreadsheets/d/1Yj_ptqi66GCucihVvJfMjLAmec39IyEx_6qawtMGysU/edit?usp=sharing"",""สบก!V20"")"),469000)</f>
        <v>469000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IFERROR(__xludf.DUMMYFUNCTION("IMPORTRANGE(""https://docs.google.com/spreadsheets/d/1Yj_ptqi66GCucihVvJfMjLAmec39IyEx_6qawtMGysU/edit?usp=sharing"",""สบก!W20"")"),0)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IFERROR(__xludf.DUMMYFUNCTION("IMPORTRANGE(""https://docs.google.com/spreadsheets/d/1Yj_ptqi66GCucihVvJfMjLAmec39IyEx_6qawtMGysU/edit?usp=sharing"",""สบก!X20"")"),0)</f>
        <v>0</v>
      </c>
      <c r="M61" s="50"/>
      <c r="N61" s="50">
        <f ca="1">IFERROR(__xludf.DUMMYFUNCTION("IMPORTRANGE(""https://docs.google.com/spreadsheets/d/1Yj_ptqi66GCucihVvJfMjLAmec39IyEx_6qawtMGysU/edit?usp=sharing"",""สบก!AB20"")"),0)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IFERROR(__xludf.DUMMYFUNCTION("IMPORTRANGE(""https://docs.google.com/spreadsheets/d/11923uPwbBZFjjGgGUA6NLw09EwE0CqkOc4q9oUmW1yo/edit?usp=sharing"",""กำแพงเพชร!I9"")"),0)</f>
        <v>0</v>
      </c>
      <c r="J64" s="142">
        <f ca="1">IFERROR(__xludf.DUMMYFUNCTION("IMPORTRANGE(""https://docs.google.com/spreadsheets/d/11923uPwbBZFjjGgGUA6NLw09EwE0CqkOc4q9oUmW1yo/edit?usp=sharing"",""กำแพงเพชร!J9"")"),0)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IFERROR(__xludf.DUMMYFUNCTION("IMPORTRANGE(""https://docs.google.com/spreadsheets/d/11923uPwbBZFjjGgGUA6NLw09EwE0CqkOc4q9oUmW1yo/edit?usp=sharing"",""กำแพงเพชร!I10"")"),0)</f>
        <v>0</v>
      </c>
      <c r="J65" s="142">
        <f ca="1">IFERROR(__xludf.DUMMYFUNCTION("IMPORTRANGE(""https://docs.google.com/spreadsheets/d/11923uPwbBZFjjGgGUA6NLw09EwE0CqkOc4q9oUmW1yo/edit?usp=sharing"",""กำแพงเพชร!J10"")"),0)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IFERROR(__xludf.DUMMYFUNCTION("IMPORTRANGE(""https://docs.google.com/spreadsheets/d/1Yj_ptqi66GCucihVvJfMjLAmec39IyEx_6qawtMGysU/edit?usp=sharing"",""สบก!AI20"")"),0)</f>
        <v>0</v>
      </c>
      <c r="N70" s="168">
        <f ca="1">IFERROR(__xludf.DUMMYFUNCTION("IMPORTRANGE(""https://docs.google.com/spreadsheets/d/1Yj_ptqi66GCucihVvJfMjLAmec39IyEx_6qawtMGysU/edit?usp=sharing"",""สบก!AJ20"")"),0)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IFERROR(__xludf.DUMMYFUNCTION("IMPORTRANGE(""https://docs.google.com/spreadsheets/d/1Yj_ptqi66GCucihVvJfMjLAmec39IyEx_6qawtMGysU/edit?usp=sharing"",""สบก!AE20"")"),0)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IFERROR(__xludf.DUMMYFUNCTION("IMPORTRANGE(""https://docs.google.com/spreadsheets/d/1Yj_ptqi66GCucihVvJfMjLAmec39IyEx_6qawtMGysU/edit?usp=sharing"",""สบก!AF20"")"),0)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IFERROR(__xludf.DUMMYFUNCTION("IMPORTRANGE(""https://docs.google.com/spreadsheets/d/1Yj_ptqi66GCucihVvJfMjLAmec39IyEx_6qawtMGysU/edit?usp=sharing"",""สบก!AG20"")"),0)</f>
        <v>0</v>
      </c>
      <c r="M74" s="50"/>
      <c r="N74" s="50">
        <f ca="1">IFERROR(__xludf.DUMMYFUNCTION("IMPORTRANGE(""https://docs.google.com/spreadsheets/d/1Yj_ptqi66GCucihVvJfMjLAmec39IyEx_6qawtMGysU/edit?usp=sharing"",""สบก!AK20"")"),0)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IFERROR(__xludf.DUMMYFUNCTION("IMPORTRANGE(""https://docs.google.com/spreadsheets/d/11923uPwbBZFjjGgGUA6NLw09EwE0CqkOc4q9oUmW1yo/edit?usp=sharing"",""กำแพงเพชร!J16"")"),0)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IFERROR(__xludf.DUMMYFUNCTION("IMPORTRANGE(""https://docs.google.com/spreadsheets/d/11923uPwbBZFjjGgGUA6NLw09EwE0CqkOc4q9oUmW1yo/edit?usp=sharing"",""กำแพงเพชร!J17"")"),0)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IFERROR(__xludf.DUMMYFUNCTION("IMPORTRANGE(""https://docs.google.com/spreadsheets/d/11923uPwbBZFjjGgGUA6NLw09EwE0CqkOc4q9oUmW1yo/edit?usp=sharing"",""กำแพงเพชร!J18"")"),0)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IFERROR(__xludf.DUMMYFUNCTION("IMPORTRANGE(""https://docs.google.com/spreadsheets/d/11923uPwbBZFjjGgGUA6NLw09EwE0CqkOc4q9oUmW1yo/edit?usp=sharing"",""กำแพงเพชร!J19"")"),0)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IFERROR(__xludf.DUMMYFUNCTION("IMPORTRANGE(""https://docs.google.com/spreadsheets/d/11923uPwbBZFjjGgGUA6NLw09EwE0CqkOc4q9oUmW1yo/edit?usp=sharing"",""กำแพงเพชร!I20"")"),0)</f>
        <v>0</v>
      </c>
      <c r="J80" s="200">
        <f ca="1">IFERROR(__xludf.DUMMYFUNCTION("IMPORTRANGE(""https://docs.google.com/spreadsheets/d/11923uPwbBZFjjGgGUA6NLw09EwE0CqkOc4q9oUmW1yo/edit?usp=sharing"",""กำแพงเพชร!J20"")"),0)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IFERROR(__xludf.DUMMYFUNCTION("IMPORTRANGE(""https://docs.google.com/spreadsheets/d/11923uPwbBZFjjGgGUA6NLw09EwE0CqkOc4q9oUmW1yo/edit?usp=sharing"",""กำแพงเพชร!I21"")"),0)</f>
        <v>0</v>
      </c>
      <c r="J81" s="200">
        <f ca="1">IFERROR(__xludf.DUMMYFUNCTION("IMPORTRANGE(""https://docs.google.com/spreadsheets/d/11923uPwbBZFjjGgGUA6NLw09EwE0CqkOc4q9oUmW1yo/edit?usp=sharing"",""กำแพงเพชร!J21"")"),0)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IFERROR(__xludf.DUMMYFUNCTION("IMPORTRANGE(""https://docs.google.com/spreadsheets/d/11923uPwbBZFjjGgGUA6NLw09EwE0CqkOc4q9oUmW1yo/edit?usp=sharing"",""กำแพงเพชร!I22"")"),0)</f>
        <v>0</v>
      </c>
      <c r="J82" s="203">
        <f ca="1">IFERROR(__xludf.DUMMYFUNCTION("IMPORTRANGE(""https://docs.google.com/spreadsheets/d/11923uPwbBZFjjGgGUA6NLw09EwE0CqkOc4q9oUmW1yo/edit?usp=sharing"",""กำแพงเพชร!J22"")"),0)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IFERROR(__xludf.DUMMYFUNCTION("IMPORTRANGE(""https://docs.google.com/spreadsheets/d/11923uPwbBZFjjGgGUA6NLw09EwE0CqkOc4q9oUmW1yo/edit?usp=sharing"",""กำแพงเพชร!I23"")"),0)</f>
        <v>0</v>
      </c>
      <c r="J83" s="203">
        <f ca="1">IFERROR(__xludf.DUMMYFUNCTION("IMPORTRANGE(""https://docs.google.com/spreadsheets/d/11923uPwbBZFjjGgGUA6NLw09EwE0CqkOc4q9oUmW1yo/edit?usp=sharing"",""กำแพงเพชร!J23"")"),0)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IFERROR(__xludf.DUMMYFUNCTION("IMPORTRANGE(""https://docs.google.com/spreadsheets/d/11923uPwbBZFjjGgGUA6NLw09EwE0CqkOc4q9oUmW1yo/edit?usp=sharing"",""กำแพงเพชร!I24"")"),0)</f>
        <v>0</v>
      </c>
      <c r="J84" s="188">
        <f ca="1">IFERROR(__xludf.DUMMYFUNCTION("IMPORTRANGE(""https://docs.google.com/spreadsheets/d/11923uPwbBZFjjGgGUA6NLw09EwE0CqkOc4q9oUmW1yo/edit?usp=sharing"",""กำแพงเพชร!J24"")"),0)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IFERROR(__xludf.DUMMYFUNCTION("IMPORTRANGE(""https://docs.google.com/spreadsheets/d/11923uPwbBZFjjGgGUA6NLw09EwE0CqkOc4q9oUmW1yo/edit?usp=sharing"",""กำแพงเพชร!I25"")"),0)</f>
        <v>0</v>
      </c>
      <c r="J85" s="188">
        <f ca="1">IFERROR(__xludf.DUMMYFUNCTION("IMPORTRANGE(""https://docs.google.com/spreadsheets/d/11923uPwbBZFjjGgGUA6NLw09EwE0CqkOc4q9oUmW1yo/edit?usp=sharing"",""กำแพงเพชร!J25"")"),0)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IFERROR(__xludf.DUMMYFUNCTION("IMPORTRANGE(""https://docs.google.com/spreadsheets/d/11923uPwbBZFjjGgGUA6NLw09EwE0CqkOc4q9oUmW1yo/edit?usp=sharing"",""กำแพงเพชร!I26"")"),0)</f>
        <v>0</v>
      </c>
      <c r="J86" s="203">
        <f ca="1">IFERROR(__xludf.DUMMYFUNCTION("IMPORTRANGE(""https://docs.google.com/spreadsheets/d/11923uPwbBZFjjGgGUA6NLw09EwE0CqkOc4q9oUmW1yo/edit?usp=sharing"",""กำแพงเพชร!J26"")"),0)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IFERROR(__xludf.DUMMYFUNCTION("IMPORTRANGE(""https://docs.google.com/spreadsheets/d/11923uPwbBZFjjGgGUA6NLw09EwE0CqkOc4q9oUmW1yo/edit?usp=sharing"",""กำแพงเพชร!I27"")"),0)</f>
        <v>0</v>
      </c>
      <c r="J87" s="203">
        <f ca="1">IFERROR(__xludf.DUMMYFUNCTION("IMPORTRANGE(""https://docs.google.com/spreadsheets/d/11923uPwbBZFjjGgGUA6NLw09EwE0CqkOc4q9oUmW1yo/edit?usp=sharing"",""กำแพงเพชร!J27"")"),0)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IFERROR(__xludf.DUMMYFUNCTION("IMPORTRANGE(""https://docs.google.com/spreadsheets/d/11923uPwbBZFjjGgGUA6NLw09EwE0CqkOc4q9oUmW1yo/edit?usp=sharing"",""กำแพงเพชร!I28"")"),0)</f>
        <v>0</v>
      </c>
      <c r="J88" s="203">
        <f ca="1">IFERROR(__xludf.DUMMYFUNCTION("IMPORTRANGE(""https://docs.google.com/spreadsheets/d/11923uPwbBZFjjGgGUA6NLw09EwE0CqkOc4q9oUmW1yo/edit?usp=sharing"",""กำแพงเพชร!J28"")"),0)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IFERROR(__xludf.DUMMYFUNCTION("IMPORTRANGE(""https://docs.google.com/spreadsheets/d/11923uPwbBZFjjGgGUA6NLw09EwE0CqkOc4q9oUmW1yo/edit?usp=sharing"",""กำแพงเพชร!J29"")"),0)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IFERROR(__xludf.DUMMYFUNCTION("IMPORTRANGE(""https://docs.google.com/spreadsheets/d/11923uPwbBZFjjGgGUA6NLw09EwE0CqkOc4q9oUmW1yo/edit?usp=sharing"",""กำแพงเพชร!J30"")"),0)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IFERROR(__xludf.DUMMYFUNCTION("IMPORTRANGE(""https://docs.google.com/spreadsheets/d/11923uPwbBZFjjGgGUA6NLw09EwE0CqkOc4q9oUmW1yo/edit?usp=sharing"",""กำแพงเพชร!I32"")"),0)</f>
        <v>0</v>
      </c>
      <c r="J92" s="142">
        <f ca="1">IFERROR(__xludf.DUMMYFUNCTION("IMPORTRANGE(""https://docs.google.com/spreadsheets/d/11923uPwbBZFjjGgGUA6NLw09EwE0CqkOc4q9oUmW1yo/edit?usp=sharing"",""กำแพงเพชร!J32"")"),0)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IFERROR(__xludf.DUMMYFUNCTION("IMPORTRANGE(""https://docs.google.com/spreadsheets/d/11923uPwbBZFjjGgGUA6NLw09EwE0CqkOc4q9oUmW1yo/edit?usp=sharing"",""กำแพงเพชร!I33"")"),0)</f>
        <v>0</v>
      </c>
      <c r="J93" s="142">
        <f ca="1">IFERROR(__xludf.DUMMYFUNCTION("IMPORTRANGE(""https://docs.google.com/spreadsheets/d/11923uPwbBZFjjGgGUA6NLw09EwE0CqkOc4q9oUmW1yo/edit?usp=sharing"",""กำแพงเพชร!J33"")"),0)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IFERROR(__xludf.DUMMYFUNCTION("IMPORTRANGE(""https://docs.google.com/spreadsheets/d/1Yj_ptqi66GCucihVvJfMjLAmec39IyEx_6qawtMGysU/edit?usp=sharing"",""สบก!AR20"")"),0)</f>
        <v>0</v>
      </c>
      <c r="N98" s="168">
        <f ca="1">IFERROR(__xludf.DUMMYFUNCTION("IMPORTRANGE(""https://docs.google.com/spreadsheets/d/1Yj_ptqi66GCucihVvJfMjLAmec39IyEx_6qawtMGysU/edit?usp=sharing"",""สบก!AS20"")"),0)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IFERROR(__xludf.DUMMYFUNCTION("IMPORTRANGE(""https://docs.google.com/spreadsheets/d/1Yj_ptqi66GCucihVvJfMjLAmec39IyEx_6qawtMGysU/edit?usp=sharing"",""สบก!AN20"")"),0)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IFERROR(__xludf.DUMMYFUNCTION("IMPORTRANGE(""https://docs.google.com/spreadsheets/d/1Yj_ptqi66GCucihVvJfMjLAmec39IyEx_6qawtMGysU/edit?usp=sharing"",""สบก!AO20"")"),0)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IFERROR(__xludf.DUMMYFUNCTION("IMPORTRANGE(""https://docs.google.com/spreadsheets/d/1Yj_ptqi66GCucihVvJfMjLAmec39IyEx_6qawtMGysU/edit?usp=sharing"",""สบก!AP20"")"),0)</f>
        <v>0</v>
      </c>
      <c r="M102" s="50"/>
      <c r="N102" s="50">
        <f ca="1">IFERROR(__xludf.DUMMYFUNCTION("IMPORTRANGE(""https://docs.google.com/spreadsheets/d/1Yj_ptqi66GCucihVvJfMjLAmec39IyEx_6qawtMGysU/edit?usp=sharing"",""สบก!AT20"")"),0)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IFERROR(__xludf.DUMMYFUNCTION("IMPORTRANGE(""https://docs.google.com/spreadsheets/d/11923uPwbBZFjjGgGUA6NLw09EwE0CqkOc4q9oUmW1yo/edit?usp=sharing"",""กำแพงเพชร!J39"")"),0)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IFERROR(__xludf.DUMMYFUNCTION("IMPORTRANGE(""https://docs.google.com/spreadsheets/d/11923uPwbBZFjjGgGUA6NLw09EwE0CqkOc4q9oUmW1yo/edit?usp=sharing"",""กำแพงเพชร!J40"")"),0)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IFERROR(__xludf.DUMMYFUNCTION("IMPORTRANGE(""https://docs.google.com/spreadsheets/d/11923uPwbBZFjjGgGUA6NLw09EwE0CqkOc4q9oUmW1yo/edit?usp=sharing"",""กำแพงเพชร!J41"")"),0)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IFERROR(__xludf.DUMMYFUNCTION("IMPORTRANGE(""https://docs.google.com/spreadsheets/d/11923uPwbBZFjjGgGUA6NLw09EwE0CqkOc4q9oUmW1yo/edit?usp=sharing"",""กำแพงเพชร!J42"")"),0)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IFERROR(__xludf.DUMMYFUNCTION("IMPORTRANGE(""https://docs.google.com/spreadsheets/d/11923uPwbBZFjjGgGUA6NLw09EwE0CqkOc4q9oUmW1yo/edit?usp=sharing"",""กำแพงเพชร!I43"")"),0)</f>
        <v>0</v>
      </c>
      <c r="J108" s="203">
        <f ca="1">IFERROR(__xludf.DUMMYFUNCTION("IMPORTRANGE(""https://docs.google.com/spreadsheets/d/11923uPwbBZFjjGgGUA6NLw09EwE0CqkOc4q9oUmW1yo/edit?usp=sharing"",""กำแพงเพชร!J43"")"),0)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IFERROR(__xludf.DUMMYFUNCTION("IMPORTRANGE(""https://docs.google.com/spreadsheets/d/11923uPwbBZFjjGgGUA6NLw09EwE0CqkOc4q9oUmW1yo/edit?usp=sharing"",""กำแพงเพชร!I44"")"),0)</f>
        <v>0</v>
      </c>
      <c r="J109" s="203">
        <f ca="1">IFERROR(__xludf.DUMMYFUNCTION("IMPORTRANGE(""https://docs.google.com/spreadsheets/d/11923uPwbBZFjjGgGUA6NLw09EwE0CqkOc4q9oUmW1yo/edit?usp=sharing"",""กำแพงเพชร!J44"")"),0)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IFERROR(__xludf.DUMMYFUNCTION("IMPORTRANGE(""https://docs.google.com/spreadsheets/d/11923uPwbBZFjjGgGUA6NLw09EwE0CqkOc4q9oUmW1yo/edit?usp=sharing"",""กำแพงเพชร!I45"")"),0)</f>
        <v>0</v>
      </c>
      <c r="J110" s="203">
        <f ca="1">IFERROR(__xludf.DUMMYFUNCTION("IMPORTRANGE(""https://docs.google.com/spreadsheets/d/11923uPwbBZFjjGgGUA6NLw09EwE0CqkOc4q9oUmW1yo/edit?usp=sharing"",""กำแพงเพชร!J45"")"),0)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IFERROR(__xludf.DUMMYFUNCTION("IMPORTRANGE(""https://docs.google.com/spreadsheets/d/11923uPwbBZFjjGgGUA6NLw09EwE0CqkOc4q9oUmW1yo/edit?usp=sharing"",""กำแพงเพชร!I46"")"),0)</f>
        <v>0</v>
      </c>
      <c r="J111" s="203">
        <f ca="1">IFERROR(__xludf.DUMMYFUNCTION("IMPORTRANGE(""https://docs.google.com/spreadsheets/d/11923uPwbBZFjjGgGUA6NLw09EwE0CqkOc4q9oUmW1yo/edit?usp=sharing"",""กำแพงเพชร!J46"")"),0)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IFERROR(__xludf.DUMMYFUNCTION("IMPORTRANGE(""https://docs.google.com/spreadsheets/d/11923uPwbBZFjjGgGUA6NLw09EwE0CqkOc4q9oUmW1yo/edit?usp=sharing"",""กำแพงเพชร!I47"")"),0)</f>
        <v>0</v>
      </c>
      <c r="J112" s="203">
        <f ca="1">IFERROR(__xludf.DUMMYFUNCTION("IMPORTRANGE(""https://docs.google.com/spreadsheets/d/11923uPwbBZFjjGgGUA6NLw09EwE0CqkOc4q9oUmW1yo/edit?usp=sharing"",""กำแพงเพชร!J47"")"),0)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IFERROR(__xludf.DUMMYFUNCTION("IMPORTRANGE(""https://docs.google.com/spreadsheets/d/11923uPwbBZFjjGgGUA6NLw09EwE0CqkOc4q9oUmW1yo/edit?usp=sharing"",""กำแพงเพชร!I48"")"),0)</f>
        <v>0</v>
      </c>
      <c r="J113" s="203">
        <f ca="1">IFERROR(__xludf.DUMMYFUNCTION("IMPORTRANGE(""https://docs.google.com/spreadsheets/d/11923uPwbBZFjjGgGUA6NLw09EwE0CqkOc4q9oUmW1yo/edit?usp=sharing"",""กำแพงเพชร!J48"")"),0)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IFERROR(__xludf.DUMMYFUNCTION("IMPORTRANGE(""https://docs.google.com/spreadsheets/d/11923uPwbBZFjjGgGUA6NLw09EwE0CqkOc4q9oUmW1yo/edit?usp=sharing"",""กำแพงเพชร!J49"")"),0)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IFERROR(__xludf.DUMMYFUNCTION("IMPORTRANGE(""https://docs.google.com/spreadsheets/d/11923uPwbBZFjjGgGUA6NLw09EwE0CqkOc4q9oUmW1yo/edit?usp=sharing"",""กำแพงเพชร!J50"")"),0)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IFERROR(__xludf.DUMMYFUNCTION("IMPORTRANGE(""https://docs.google.com/spreadsheets/d/11923uPwbBZFjjGgGUA6NLw09EwE0CqkOc4q9oUmW1yo/edit?usp=sharing"",""กำแพงเพชร!I52"")"),20)</f>
        <v>20</v>
      </c>
      <c r="J117" s="142">
        <f ca="1">IFERROR(__xludf.DUMMYFUNCTION("IMPORTRANGE(""https://docs.google.com/spreadsheets/d/11923uPwbBZFjjGgGUA6NLw09EwE0CqkOc4q9oUmW1yo/edit?usp=sharing"",""กำแพงเพชร!J52"")"),20)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66080</v>
      </c>
      <c r="O118" s="151">
        <f t="shared" ref="O118:O120" ca="1" si="59">IF(L118&gt;0,N118*100/L118,0)</f>
        <v>80.155264434740417</v>
      </c>
      <c r="P118" s="151">
        <f t="shared" ref="P118:P120" ca="1" si="60">IF(M118&gt;0,N118*100/M118,0)</f>
        <v>80.155264434740417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66080</v>
      </c>
      <c r="O120" s="156">
        <f t="shared" ca="1" si="59"/>
        <v>80.155264434740417</v>
      </c>
      <c r="P120" s="156">
        <f t="shared" ca="1" si="60"/>
        <v>80.155264434740417</v>
      </c>
    </row>
    <row r="121" spans="1:16" ht="21.75" customHeight="1" x14ac:dyDescent="0.45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IFERROR(__xludf.DUMMYFUNCTION("IMPORTRANGE(""https://docs.google.com/spreadsheets/d/1Yj_ptqi66GCucihVvJfMjLAmec39IyEx_6qawtMGysU/edit?usp=sharing"",""สบก!BA20"")"),82440)</f>
        <v>82440</v>
      </c>
      <c r="N122" s="168">
        <f ca="1">IFERROR(__xludf.DUMMYFUNCTION("IMPORTRANGE(""https://docs.google.com/spreadsheets/d/1Yj_ptqi66GCucihVvJfMjLAmec39IyEx_6qawtMGysU/edit?usp=sharing"",""สบก!BB20"")"),66080)</f>
        <v>66080</v>
      </c>
      <c r="O122" s="168">
        <f ca="1">IF(L122&gt;0,N122*100/L122,0)</f>
        <v>80.155264434740417</v>
      </c>
      <c r="P122" s="168">
        <f ca="1">IF(M122&gt;0,N122*100/M122,0)</f>
        <v>80.155264434740417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IFERROR(__xludf.DUMMYFUNCTION("IMPORTRANGE(""https://docs.google.com/spreadsheets/d/1Yj_ptqi66GCucihVvJfMjLAmec39IyEx_6qawtMGysU/edit?usp=sharing"",""สบก!AW20"")"),0)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IFERROR(__xludf.DUMMYFUNCTION("IMPORTRANGE(""https://docs.google.com/spreadsheets/d/1Yj_ptqi66GCucihVvJfMjLAmec39IyEx_6qawtMGysU/edit?usp=sharing"",""สบก!AX20"")"),82440)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IFERROR(__xludf.DUMMYFUNCTION("IMPORTRANGE(""https://docs.google.com/spreadsheets/d/1Yj_ptqi66GCucihVvJfMjLAmec39IyEx_6qawtMGysU/edit?usp=sharing"",""สบก!AY20"")"),0)</f>
        <v>0</v>
      </c>
      <c r="M126" s="50"/>
      <c r="N126" s="50">
        <f ca="1">IFERROR(__xludf.DUMMYFUNCTION("IMPORTRANGE(""https://docs.google.com/spreadsheets/d/1Yj_ptqi66GCucihVvJfMjLAmec39IyEx_6qawtMGysU/edit?usp=sharing"",""สบก!BC20"")"),0)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261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IFERROR(__xludf.DUMMYFUNCTION("IMPORTRANGE(""https://docs.google.com/spreadsheets/d/11923uPwbBZFjjGgGUA6NLw09EwE0CqkOc4q9oUmW1yo/edit?usp=sharing"",""กำแพงเพชร!J58"")"),0)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IFERROR(__xludf.DUMMYFUNCTION("IMPORTRANGE(""https://docs.google.com/spreadsheets/d/11923uPwbBZFjjGgGUA6NLw09EwE0CqkOc4q9oUmW1yo/edit?usp=sharing"",""กำแพงเพชร!J59"")"),1)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IFERROR(__xludf.DUMMYFUNCTION("IMPORTRANGE(""https://docs.google.com/spreadsheets/d/11923uPwbBZFjjGgGUA6NLw09EwE0CqkOc4q9oUmW1yo/edit?usp=sharing"",""กำแพงเพชร!J60"")"),1)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IFERROR(__xludf.DUMMYFUNCTION("IMPORTRANGE(""https://docs.google.com/spreadsheets/d/11923uPwbBZFjjGgGUA6NLw09EwE0CqkOc4q9oUmW1yo/edit?usp=sharing"",""กำแพงเพชร!J61"")"),1)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IFERROR(__xludf.DUMMYFUNCTION("IMPORTRANGE(""https://docs.google.com/spreadsheets/d/11923uPwbBZFjjGgGUA6NLw09EwE0CqkOc4q9oUmW1yo/edit?usp=sharing"",""กำแพงเพชร!I62"")"),20)</f>
        <v>20</v>
      </c>
      <c r="J132" s="203">
        <f ca="1">IFERROR(__xludf.DUMMYFUNCTION("IMPORTRANGE(""https://docs.google.com/spreadsheets/d/11923uPwbBZFjjGgGUA6NLw09EwE0CqkOc4q9oUmW1yo/edit?usp=sharing"",""กำแพงเพชร!J62"")"),20)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IFERROR(__xludf.DUMMYFUNCTION("IMPORTRANGE(""https://docs.google.com/spreadsheets/d/11923uPwbBZFjjGgGUA6NLw09EwE0CqkOc4q9oUmW1yo/edit?usp=sharing"",""กำแพงเพชร!I63"")"),20)</f>
        <v>20</v>
      </c>
      <c r="J133" s="203">
        <f ca="1">IFERROR(__xludf.DUMMYFUNCTION("IMPORTRANGE(""https://docs.google.com/spreadsheets/d/11923uPwbBZFjjGgGUA6NLw09EwE0CqkOc4q9oUmW1yo/edit?usp=sharing"",""กำแพงเพชร!J63"")"),20)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IFERROR(__xludf.DUMMYFUNCTION("IMPORTRANGE(""https://docs.google.com/spreadsheets/d/11923uPwbBZFjjGgGUA6NLw09EwE0CqkOc4q9oUmW1yo/edit?usp=sharing"",""กำแพงเพชร!J64"")"),0)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IFERROR(__xludf.DUMMYFUNCTION("IMPORTRANGE(""https://docs.google.com/spreadsheets/d/11923uPwbBZFjjGgGUA6NLw09EwE0CqkOc4q9oUmW1yo/edit?usp=sharing"",""กำแพงเพชร!J65"")"),0)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IFERROR(__xludf.DUMMYFUNCTION("IMPORTRANGE(""https://docs.google.com/spreadsheets/d/11923uPwbBZFjjGgGUA6NLw09EwE0CqkOc4q9oUmW1yo/edit?usp=sharing"",""กำแพงเพชร!I68"")"),0)</f>
        <v>0</v>
      </c>
      <c r="J138" s="267">
        <f ca="1">IFERROR(__xludf.DUMMYFUNCTION("IMPORTRANGE(""https://docs.google.com/spreadsheets/d/11923uPwbBZFjjGgGUA6NLw09EwE0CqkOc4q9oUmW1yo/edit?usp=sharing"",""กำแพงเพชร!J68"")"),0)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185025</v>
      </c>
      <c r="N140" s="152">
        <f t="shared" ca="1" si="64"/>
        <v>110350</v>
      </c>
      <c r="O140" s="151">
        <f t="shared" ref="O140:O142" ca="1" si="65">IF(L140&gt;0,N140*100/L140,0)</f>
        <v>159.92753623188406</v>
      </c>
      <c r="P140" s="151">
        <f t="shared" ref="P140:P142" ca="1" si="66">IF(M140&gt;0,N140*100/M140,0)</f>
        <v>59.640589109579786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185025</v>
      </c>
      <c r="N142" s="88">
        <f t="shared" ca="1" si="68"/>
        <v>110350</v>
      </c>
      <c r="O142" s="156">
        <f t="shared" ca="1" si="65"/>
        <v>159.92753623188406</v>
      </c>
      <c r="P142" s="156">
        <f t="shared" ca="1" si="66"/>
        <v>59.640589109579786</v>
      </c>
    </row>
    <row r="143" spans="1:16" ht="21.75" customHeight="1" x14ac:dyDescent="0.45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IFERROR(__xludf.DUMMYFUNCTION("IMPORTRANGE(""https://docs.google.com/spreadsheets/d/1Yj_ptqi66GCucihVvJfMjLAmec39IyEx_6qawtMGysU/edit?usp=sharing"",""สบก!BJ20"")"),185025)</f>
        <v>185025</v>
      </c>
      <c r="N144" s="168">
        <f ca="1">IFERROR(__xludf.DUMMYFUNCTION("IMPORTRANGE(""https://docs.google.com/spreadsheets/d/1Yj_ptqi66GCucihVvJfMjLAmec39IyEx_6qawtMGysU/edit?usp=sharing"",""สบก!BK20"")"),110350)</f>
        <v>110350</v>
      </c>
      <c r="O144" s="168">
        <f ca="1">IF(L144&gt;0,N144*100/L144,0)</f>
        <v>159.92753623188406</v>
      </c>
      <c r="P144" s="168">
        <f ca="1">IF(M144&gt;0,N144*100/M144,0)</f>
        <v>59.640589109579786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IFERROR(__xludf.DUMMYFUNCTION("IMPORTRANGE(""https://docs.google.com/spreadsheets/d/1Yj_ptqi66GCucihVvJfMjLAmec39IyEx_6qawtMGysU/edit?usp=sharing"",""สบก!BF20"")"),0)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IFERROR(__xludf.DUMMYFUNCTION("IMPORTRANGE(""https://docs.google.com/spreadsheets/d/1Yj_ptqi66GCucihVvJfMjLAmec39IyEx_6qawtMGysU/edit?usp=sharing"",""สบก!BG20"")"),69000)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IFERROR(__xludf.DUMMYFUNCTION("IMPORTRANGE(""https://docs.google.com/spreadsheets/d/1Yj_ptqi66GCucihVvJfMjLAmec39IyEx_6qawtMGysU/edit?usp=sharing"",""สบก!BH20"")"),0)</f>
        <v>0</v>
      </c>
      <c r="M148" s="50"/>
      <c r="N148" s="50">
        <f ca="1">IFERROR(__xludf.DUMMYFUNCTION("IMPORTRANGE(""https://docs.google.com/spreadsheets/d/1Yj_ptqi66GCucihVvJfMjLAmec39IyEx_6qawtMGysU/edit?usp=sharing"",""สบก!BL20"")"),0)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IFERROR(__xludf.DUMMYFUNCTION("IMPORTRANGE(""https://docs.google.com/spreadsheets/d/11923uPwbBZFjjGgGUA6NLw09EwE0CqkOc4q9oUmW1yo/edit?usp=sharing"",""กำแพงเพชร!I74"")"),4)</f>
        <v>4</v>
      </c>
      <c r="J149" s="275">
        <f ca="1">IFERROR(__xludf.DUMMYFUNCTION("IMPORTRANGE(""https://docs.google.com/spreadsheets/d/11923uPwbBZFjjGgGUA6NLw09EwE0CqkOc4q9oUmW1yo/edit?usp=sharing"",""กำแพงเพชร!J74"")"),2)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IFERROR(__xludf.DUMMYFUNCTION("IMPORTRANGE(""https://docs.google.com/spreadsheets/d/11923uPwbBZFjjGgGUA6NLw09EwE0CqkOc4q9oUmW1yo/edit?usp=sharing"",""กำแพงเพชร!J79"")"),0)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IFERROR(__xludf.DUMMYFUNCTION("IMPORTRANGE(""https://docs.google.com/spreadsheets/d/11923uPwbBZFjjGgGUA6NLw09EwE0CqkOc4q9oUmW1yo/edit?usp=sharing"",""กำแพงเพชร!J80"")"),1)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IFERROR(__xludf.DUMMYFUNCTION("IMPORTRANGE(""https://docs.google.com/spreadsheets/d/11923uPwbBZFjjGgGUA6NLw09EwE0CqkOc4q9oUmW1yo/edit?usp=sharing"",""กำแพงเพชร!J81"")"),1)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IFERROR(__xludf.DUMMYFUNCTION("IMPORTRANGE(""https://docs.google.com/spreadsheets/d/11923uPwbBZFjjGgGUA6NLw09EwE0CqkOc4q9oUmW1yo/edit?usp=sharing"",""กำแพงเพชร!J82"")"),1)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IFERROR(__xludf.DUMMYFUNCTION("IMPORTRANGE(""https://docs.google.com/spreadsheets/d/11923uPwbBZFjjGgGUA6NLw09EwE0CqkOc4q9oUmW1yo/edit?usp=sharing"",""กำแพงเพชร!I83"")"),4)</f>
        <v>4</v>
      </c>
      <c r="J158" s="188">
        <f ca="1">IFERROR(__xludf.DUMMYFUNCTION("IMPORTRANGE(""https://docs.google.com/spreadsheets/d/11923uPwbBZFjjGgGUA6NLw09EwE0CqkOc4q9oUmW1yo/edit?usp=sharing"",""กำแพงเพชร!J83"")"),2)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IFERROR(__xludf.DUMMYFUNCTION("IMPORTRANGE(""https://docs.google.com/spreadsheets/d/11923uPwbBZFjjGgGUA6NLw09EwE0CqkOc4q9oUmW1yo/edit?usp=sharing"",""กำแพงเพชร!J84"")"),33)</f>
        <v>33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IFERROR(__xludf.DUMMYFUNCTION("IMPORTRANGE(""https://docs.google.com/spreadsheets/d/11923uPwbBZFjjGgGUA6NLw09EwE0CqkOc4q9oUmW1yo/edit?usp=sharing"",""กำแพงเพชร!J85"")"),33)</f>
        <v>33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IFERROR(__xludf.DUMMYFUNCTION("IMPORTRANGE(""https://docs.google.com/spreadsheets/d/11923uPwbBZFjjGgGUA6NLw09EwE0CqkOc4q9oUmW1yo/edit?usp=sharing"",""กำแพงเพชร!J86"")"),0)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IFERROR(__xludf.DUMMYFUNCTION("IMPORTRANGE(""https://docs.google.com/spreadsheets/d/11923uPwbBZFjjGgGUA6NLw09EwE0CqkOc4q9oUmW1yo/edit?usp=sharing"",""กำแพงเพชร!J87"")"),0)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IFERROR(__xludf.DUMMYFUNCTION("IMPORTRANGE(""https://docs.google.com/spreadsheets/d/11923uPwbBZFjjGgGUA6NLw09EwE0CqkOc4q9oUmW1yo/edit?usp=sharing"",""กำแพงเพชร!J88"")"),0)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IFERROR(__xludf.DUMMYFUNCTION("IMPORTRANGE(""https://docs.google.com/spreadsheets/d/11923uPwbBZFjjGgGUA6NLw09EwE0CqkOc4q9oUmW1yo/edit?usp=sharing"",""กำแพงเพชร!I89"")"),3)</f>
        <v>3</v>
      </c>
      <c r="J164" s="284">
        <f ca="1">IFERROR(__xludf.DUMMYFUNCTION("IMPORTRANGE(""https://docs.google.com/spreadsheets/d/11923uPwbBZFjjGgGUA6NLw09EwE0CqkOc4q9oUmW1yo/edit?usp=sharing"",""กำแพงเพชร!J89"")"),2)</f>
        <v>2</v>
      </c>
      <c r="K164" s="285">
        <f ca="1">IF(I164&gt;0,J164*100/I164,0)</f>
        <v>66.666666666666671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IFERROR(__xludf.DUMMYFUNCTION("IMPORTRANGE(""https://docs.google.com/spreadsheets/d/11923uPwbBZFjjGgGUA6NLw09EwE0CqkOc4q9oUmW1yo/edit?usp=sharing"",""กำแพงเพชร!J94"")"),0)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IFERROR(__xludf.DUMMYFUNCTION("IMPORTRANGE(""https://docs.google.com/spreadsheets/d/11923uPwbBZFjjGgGUA6NLw09EwE0CqkOc4q9oUmW1yo/edit?usp=sharing"",""กำแพงเพชร!J95"")"),1)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IFERROR(__xludf.DUMMYFUNCTION("IMPORTRANGE(""https://docs.google.com/spreadsheets/d/11923uPwbBZFjjGgGUA6NLw09EwE0CqkOc4q9oUmW1yo/edit?usp=sharing"",""กำแพงเพชร!J96"")"),1)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IFERROR(__xludf.DUMMYFUNCTION("IMPORTRANGE(""https://docs.google.com/spreadsheets/d/11923uPwbBZFjjGgGUA6NLw09EwE0CqkOc4q9oUmW1yo/edit?usp=sharing"",""กำแพงเพชร!J97"")"),1)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IFERROR(__xludf.DUMMYFUNCTION("IMPORTRANGE(""https://docs.google.com/spreadsheets/d/11923uPwbBZFjjGgGUA6NLw09EwE0CqkOc4q9oUmW1yo/edit?usp=sharing"",""กำแพงเพชร!I98"")"),3)</f>
        <v>3</v>
      </c>
      <c r="J173" s="188">
        <f ca="1">IFERROR(__xludf.DUMMYFUNCTION("IMPORTRANGE(""https://docs.google.com/spreadsheets/d/11923uPwbBZFjjGgGUA6NLw09EwE0CqkOc4q9oUmW1yo/edit?usp=sharing"",""กำแพงเพชร!J98"")"),2)</f>
        <v>2</v>
      </c>
      <c r="K173" s="163">
        <f ca="1">IF(I173&gt;0,J173*100/I173,0)</f>
        <v>66.666666666666671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IFERROR(__xludf.DUMMYFUNCTION("IMPORTRANGE(""https://docs.google.com/spreadsheets/d/11923uPwbBZFjjGgGUA6NLw09EwE0CqkOc4q9oUmW1yo/edit?usp=sharing"",""กำแพงเพชร!J99"")"),0)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IFERROR(__xludf.DUMMYFUNCTION("IMPORTRANGE(""https://docs.google.com/spreadsheets/d/11923uPwbBZFjjGgGUA6NLw09EwE0CqkOc4q9oUmW1yo/edit?usp=sharing"",""กำแพงเพชร!J100"")"),0)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IFERROR(__xludf.DUMMYFUNCTION("IMPORTRANGE(""https://docs.google.com/spreadsheets/d/11923uPwbBZFjjGgGUA6NLw09EwE0CqkOc4q9oUmW1yo/edit?usp=sharing"",""กำแพงเพชร!I101"")"),0)</f>
        <v>0</v>
      </c>
      <c r="J176" s="284">
        <f ca="1">IFERROR(__xludf.DUMMYFUNCTION("IMPORTRANGE(""https://docs.google.com/spreadsheets/d/11923uPwbBZFjjGgGUA6NLw09EwE0CqkOc4q9oUmW1yo/edit?usp=sharing"",""กำแพงเพชร!J101"")"),0)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IFERROR(__xludf.DUMMYFUNCTION("IMPORTRANGE(""https://docs.google.com/spreadsheets/d/11923uPwbBZFjjGgGUA6NLw09EwE0CqkOc4q9oUmW1yo/edit?usp=sharing"",""กำแพงเพชร!J106"")"),0)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IFERROR(__xludf.DUMMYFUNCTION("IMPORTRANGE(""https://docs.google.com/spreadsheets/d/11923uPwbBZFjjGgGUA6NLw09EwE0CqkOc4q9oUmW1yo/edit?usp=sharing"",""กำแพงเพชร!J107"")"),0)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IFERROR(__xludf.DUMMYFUNCTION("IMPORTRANGE(""https://docs.google.com/spreadsheets/d/11923uPwbBZFjjGgGUA6NLw09EwE0CqkOc4q9oUmW1yo/edit?usp=sharing"",""กำแพงเพชร!J108"")"),0)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IFERROR(__xludf.DUMMYFUNCTION("IMPORTRANGE(""https://docs.google.com/spreadsheets/d/11923uPwbBZFjjGgGUA6NLw09EwE0CqkOc4q9oUmW1yo/edit?usp=sharing"",""กำแพงเพชร!J109"")"),0)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IFERROR(__xludf.DUMMYFUNCTION("IMPORTRANGE(""https://docs.google.com/spreadsheets/d/11923uPwbBZFjjGgGUA6NLw09EwE0CqkOc4q9oUmW1yo/edit?usp=sharing"",""กำแพงเพชร!I110"")"),0)</f>
        <v>0</v>
      </c>
      <c r="J185" s="203">
        <f ca="1">IFERROR(__xludf.DUMMYFUNCTION("IMPORTRANGE(""https://docs.google.com/spreadsheets/d/11923uPwbBZFjjGgGUA6NLw09EwE0CqkOc4q9oUmW1yo/edit?usp=sharing"",""กำแพงเพชร!J110"")"),0)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IFERROR(__xludf.DUMMYFUNCTION("IMPORTRANGE(""https://docs.google.com/spreadsheets/d/11923uPwbBZFjjGgGUA6NLw09EwE0CqkOc4q9oUmW1yo/edit?usp=sharing"",""กำแพงเพชร!I111"")"),0)</f>
        <v>0</v>
      </c>
      <c r="J186" s="203">
        <f ca="1">IFERROR(__xludf.DUMMYFUNCTION("IMPORTRANGE(""https://docs.google.com/spreadsheets/d/11923uPwbBZFjjGgGUA6NLw09EwE0CqkOc4q9oUmW1yo/edit?usp=sharing"",""กำแพงเพชร!J111"")"),0)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IFERROR(__xludf.DUMMYFUNCTION("IMPORTRANGE(""https://docs.google.com/spreadsheets/d/11923uPwbBZFjjGgGUA6NLw09EwE0CqkOc4q9oUmW1yo/edit?usp=sharing"",""กำแพงเพชร!J112"")"),0)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IFERROR(__xludf.DUMMYFUNCTION("IMPORTRANGE(""https://docs.google.com/spreadsheets/d/11923uPwbBZFjjGgGUA6NLw09EwE0CqkOc4q9oUmW1yo/edit?usp=sharing"",""กำแพงเพชร!J113"")"),0)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IFERROR(__xludf.DUMMYFUNCTION("IMPORTRANGE(""https://docs.google.com/spreadsheets/d/11923uPwbBZFjjGgGUA6NLw09EwE0CqkOc4q9oUmW1yo/edit?usp=sharing"",""กำแพงเพชร!I114"")"),50000)</f>
        <v>50000</v>
      </c>
      <c r="J189" s="284">
        <f ca="1">IFERROR(__xludf.DUMMYFUNCTION("IMPORTRANGE(""https://docs.google.com/spreadsheets/d/11923uPwbBZFjjGgGUA6NLw09EwE0CqkOc4q9oUmW1yo/edit?usp=sharing"",""กำแพงเพชร!J114"")"),0)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IFERROR(__xludf.DUMMYFUNCTION("IMPORTRANGE(""https://docs.google.com/spreadsheets/d/11923uPwbBZFjjGgGUA6NLw09EwE0CqkOc4q9oUmW1yo/edit?usp=sharing"",""กำแพงเพชร!J119"")"),0)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IFERROR(__xludf.DUMMYFUNCTION("IMPORTRANGE(""https://docs.google.com/spreadsheets/d/11923uPwbBZFjjGgGUA6NLw09EwE0CqkOc4q9oUmW1yo/edit?usp=sharing"",""กำแพงเพชร!J120"")"),1)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IFERROR(__xludf.DUMMYFUNCTION("IMPORTRANGE(""https://docs.google.com/spreadsheets/d/11923uPwbBZFjjGgGUA6NLw09EwE0CqkOc4q9oUmW1yo/edit?usp=sharing"",""กำแพงเพชร!J121"")"),0)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IFERROR(__xludf.DUMMYFUNCTION("IMPORTRANGE(""https://docs.google.com/spreadsheets/d/11923uPwbBZFjjGgGUA6NLw09EwE0CqkOc4q9oUmW1yo/edit?usp=sharing"",""กำแพงเพชร!J122"")"),0)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IFERROR(__xludf.DUMMYFUNCTION("IMPORTRANGE(""https://docs.google.com/spreadsheets/d/11923uPwbBZFjjGgGUA6NLw09EwE0CqkOc4q9oUmW1yo/edit?usp=sharing"",""กำแพงเพชร!I124"")"),50000)</f>
        <v>50000</v>
      </c>
      <c r="J199" s="188">
        <f ca="1">IFERROR(__xludf.DUMMYFUNCTION("IMPORTRANGE(""https://docs.google.com/spreadsheets/d/11923uPwbBZFjjGgGUA6NLw09EwE0CqkOc4q9oUmW1yo/edit?usp=sharing"",""กำแพงเพชร!J124"")"),0)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IFERROR(__xludf.DUMMYFUNCTION("IMPORTRANGE(""https://docs.google.com/spreadsheets/d/11923uPwbBZFjjGgGUA6NLw09EwE0CqkOc4q9oUmW1yo/edit?usp=sharing"",""กำแพงเพชร!I125"")"),50000)</f>
        <v>50000</v>
      </c>
      <c r="J200" s="188">
        <f ca="1">IFERROR(__xludf.DUMMYFUNCTION("IMPORTRANGE(""https://docs.google.com/spreadsheets/d/11923uPwbBZFjjGgGUA6NLw09EwE0CqkOc4q9oUmW1yo/edit?usp=sharing"",""กำแพงเพชร!J125"")"),0)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IFERROR(__xludf.DUMMYFUNCTION("IMPORTRANGE(""https://docs.google.com/spreadsheets/d/11923uPwbBZFjjGgGUA6NLw09EwE0CqkOc4q9oUmW1yo/edit?usp=sharing"",""กำแพงเพชร!I126"")"),0)</f>
        <v>0</v>
      </c>
      <c r="J201" s="188">
        <f ca="1">IFERROR(__xludf.DUMMYFUNCTION("IMPORTRANGE(""https://docs.google.com/spreadsheets/d/11923uPwbBZFjjGgGUA6NLw09EwE0CqkOc4q9oUmW1yo/edit?usp=sharing"",""กำแพงเพชร!J126"")"),0)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IFERROR(__xludf.DUMMYFUNCTION("IMPORTRANGE(""https://docs.google.com/spreadsheets/d/11923uPwbBZFjjGgGUA6NLw09EwE0CqkOc4q9oUmW1yo/edit?usp=sharing"",""กำแพงเพชร!J127"")"),0)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IFERROR(__xludf.DUMMYFUNCTION("IMPORTRANGE(""https://docs.google.com/spreadsheets/d/11923uPwbBZFjjGgGUA6NLw09EwE0CqkOc4q9oUmW1yo/edit?usp=sharing"",""กำแพงเพชร!J128"")"),0)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IFERROR(__xludf.DUMMYFUNCTION("IMPORTRANGE(""https://docs.google.com/spreadsheets/d/11923uPwbBZFjjGgGUA6NLw09EwE0CqkOc4q9oUmW1yo/edit?usp=sharing"",""กำแพงเพชร!I129"")"),0)</f>
        <v>0</v>
      </c>
      <c r="J204" s="284">
        <f ca="1">IFERROR(__xludf.DUMMYFUNCTION("IMPORTRANGE(""https://docs.google.com/spreadsheets/d/11923uPwbBZFjjGgGUA6NLw09EwE0CqkOc4q9oUmW1yo/edit?usp=sharing"",""กำแพงเพชร!J129"")"),0)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IFERROR(__xludf.DUMMYFUNCTION("IMPORTRANGE(""https://docs.google.com/spreadsheets/d/11923uPwbBZFjjGgGUA6NLw09EwE0CqkOc4q9oUmW1yo/edit?usp=sharing"",""กำแพงเพชร!J134"")"),0)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IFERROR(__xludf.DUMMYFUNCTION("IMPORTRANGE(""https://docs.google.com/spreadsheets/d/11923uPwbBZFjjGgGUA6NLw09EwE0CqkOc4q9oUmW1yo/edit?usp=sharing"",""กำแพงเพชร!J135"")"),0)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IFERROR(__xludf.DUMMYFUNCTION("IMPORTRANGE(""https://docs.google.com/spreadsheets/d/11923uPwbBZFjjGgGUA6NLw09EwE0CqkOc4q9oUmW1yo/edit?usp=sharing"",""กำแพงเพชร!J136"")"),0)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IFERROR(__xludf.DUMMYFUNCTION("IMPORTRANGE(""https://docs.google.com/spreadsheets/d/11923uPwbBZFjjGgGUA6NLw09EwE0CqkOc4q9oUmW1yo/edit?usp=sharing"",""กำแพงเพชร!J137"")"),0)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IFERROR(__xludf.DUMMYFUNCTION("IMPORTRANGE(""https://docs.google.com/spreadsheets/d/11923uPwbBZFjjGgGUA6NLw09EwE0CqkOc4q9oUmW1yo/edit?usp=sharing"",""กำแพงเพชร!I138"")"),0)</f>
        <v>0</v>
      </c>
      <c r="J213" s="203">
        <f ca="1">IFERROR(__xludf.DUMMYFUNCTION("IMPORTRANGE(""https://docs.google.com/spreadsheets/d/11923uPwbBZFjjGgGUA6NLw09EwE0CqkOc4q9oUmW1yo/edit?usp=sharing"",""กำแพงเพชร!J138"")"),0)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IFERROR(__xludf.DUMMYFUNCTION("IMPORTRANGE(""https://docs.google.com/spreadsheets/d/11923uPwbBZFjjGgGUA6NLw09EwE0CqkOc4q9oUmW1yo/edit?usp=sharing"",""กำแพงเพชร!I140"")"),0)</f>
        <v>0</v>
      </c>
      <c r="J215" s="203">
        <f ca="1">IFERROR(__xludf.DUMMYFUNCTION("IMPORTRANGE(""https://docs.google.com/spreadsheets/d/11923uPwbBZFjjGgGUA6NLw09EwE0CqkOc4q9oUmW1yo/edit?usp=sharing"",""กำแพงเพชร!J140"")"),0)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IFERROR(__xludf.DUMMYFUNCTION("IMPORTRANGE(""https://docs.google.com/spreadsheets/d/11923uPwbBZFjjGgGUA6NLw09EwE0CqkOc4q9oUmW1yo/edit?usp=sharing"",""กำแพงเพชร!I141"")"),0)</f>
        <v>0</v>
      </c>
      <c r="J216" s="203">
        <f ca="1">IFERROR(__xludf.DUMMYFUNCTION("IMPORTRANGE(""https://docs.google.com/spreadsheets/d/11923uPwbBZFjjGgGUA6NLw09EwE0CqkOc4q9oUmW1yo/edit?usp=sharing"",""กำแพงเพชร!J141"")"),0)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IFERROR(__xludf.DUMMYFUNCTION("IMPORTRANGE(""https://docs.google.com/spreadsheets/d/11923uPwbBZFjjGgGUA6NLw09EwE0CqkOc4q9oUmW1yo/edit?usp=sharing"",""กำแพงเพชร!J142"")"),0)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IFERROR(__xludf.DUMMYFUNCTION("IMPORTRANGE(""https://docs.google.com/spreadsheets/d/11923uPwbBZFjjGgGUA6NLw09EwE0CqkOc4q9oUmW1yo/edit?usp=sharing"",""กำแพงเพชร!J143"")"),0)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IFERROR(__xludf.DUMMYFUNCTION("IMPORTRANGE(""https://docs.google.com/spreadsheets/d/11923uPwbBZFjjGgGUA6NLw09EwE0CqkOc4q9oUmW1yo/edit?usp=sharing"",""กำแพงเพชร!I144"")"),15)</f>
        <v>15</v>
      </c>
      <c r="J219" s="267">
        <f ca="1">IFERROR(__xludf.DUMMYFUNCTION("IMPORTRANGE(""https://docs.google.com/spreadsheets/d/11923uPwbBZFjjGgGUA6NLw09EwE0CqkOc4q9oUmW1yo/edit?usp=sharing"",""กำแพงเพชร!J144"")"),15)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IFERROR(__xludf.DUMMYFUNCTION("IMPORTRANGE(""https://docs.google.com/spreadsheets/d/1Yj_ptqi66GCucihVvJfMjLAmec39IyEx_6qawtMGysU/edit?usp=sharing"",""สบก!BS20"")"),21125)</f>
        <v>21125</v>
      </c>
      <c r="N224" s="168">
        <f ca="1">IFERROR(__xludf.DUMMYFUNCTION("IMPORTRANGE(""https://docs.google.com/spreadsheets/d/1Yj_ptqi66GCucihVvJfMjLAmec39IyEx_6qawtMGysU/edit?usp=sharing"",""สบก!BT20"")"),21125)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IFERROR(__xludf.DUMMYFUNCTION("IMPORTRANGE(""https://docs.google.com/spreadsheets/d/1Yj_ptqi66GCucihVvJfMjLAmec39IyEx_6qawtMGysU/edit?usp=sharing"",""สบก!BO20"")"),0)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IFERROR(__xludf.DUMMYFUNCTION("IMPORTRANGE(""https://docs.google.com/spreadsheets/d/1Yj_ptqi66GCucihVvJfMjLAmec39IyEx_6qawtMGysU/edit?usp=sharing"",""สบก!BP20"")"),21125)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IFERROR(__xludf.DUMMYFUNCTION("IMPORTRANGE(""https://docs.google.com/spreadsheets/d/1Yj_ptqi66GCucihVvJfMjLAmec39IyEx_6qawtMGysU/edit?usp=sharing"",""สบก!BQ20"")"),0)</f>
        <v>0</v>
      </c>
      <c r="M228" s="50"/>
      <c r="N228" s="50">
        <f ca="1">IFERROR(__xludf.DUMMYFUNCTION("IMPORTRANGE(""https://docs.google.com/spreadsheets/d/1Yj_ptqi66GCucihVvJfMjLAmec39IyEx_6qawtMGysU/edit?usp=sharing"",""สบก!BU20"")"),0)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IFERROR(__xludf.DUMMYFUNCTION("IMPORTRANGE(""https://docs.google.com/spreadsheets/d/11923uPwbBZFjjGgGUA6NLw09EwE0CqkOc4q9oUmW1yo/edit?usp=sharing"",""กำแพงเพชร!I149"")"),15)</f>
        <v>15</v>
      </c>
      <c r="J229" s="267">
        <f ca="1">IFERROR(__xludf.DUMMYFUNCTION("IMPORTRANGE(""https://docs.google.com/spreadsheets/d/11923uPwbBZFjjGgGUA6NLw09EwE0CqkOc4q9oUmW1yo/edit?usp=sharing"",""กำแพงเพชร!J149"")"),15)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IFERROR(__xludf.DUMMYFUNCTION("IMPORTRANGE(""https://docs.google.com/spreadsheets/d/11923uPwbBZFjjGgGUA6NLw09EwE0CqkOc4q9oUmW1yo/edit?usp=sharing"",""กำแพงเพชร!J151"")"),0)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IFERROR(__xludf.DUMMYFUNCTION("IMPORTRANGE(""https://docs.google.com/spreadsheets/d/11923uPwbBZFjjGgGUA6NLw09EwE0CqkOc4q9oUmW1yo/edit?usp=sharing"",""กำแพงเพชร!J152"")"),0)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IFERROR(__xludf.DUMMYFUNCTION("IMPORTRANGE(""https://docs.google.com/spreadsheets/d/11923uPwbBZFjjGgGUA6NLw09EwE0CqkOc4q9oUmW1yo/edit?usp=sharing"",""กำแพงเพชร!J153"")"),0)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IFERROR(__xludf.DUMMYFUNCTION("IMPORTRANGE(""https://docs.google.com/spreadsheets/d/11923uPwbBZFjjGgGUA6NLw09EwE0CqkOc4q9oUmW1yo/edit?usp=sharing"",""กำแพงเพชร!J154"")"),0)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IFERROR(__xludf.DUMMYFUNCTION("IMPORTRANGE(""https://docs.google.com/spreadsheets/d/11923uPwbBZFjjGgGUA6NLw09EwE0CqkOc4q9oUmW1yo/edit?usp=sharing"",""กำแพงเพชร!I155"")"),15)</f>
        <v>15</v>
      </c>
      <c r="J235" s="188">
        <f ca="1">IFERROR(__xludf.DUMMYFUNCTION("IMPORTRANGE(""https://docs.google.com/spreadsheets/d/11923uPwbBZFjjGgGUA6NLw09EwE0CqkOc4q9oUmW1yo/edit?usp=sharing"",""กำแพงเพชร!J155"")"),15)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IFERROR(__xludf.DUMMYFUNCTION("IMPORTRANGE(""https://docs.google.com/spreadsheets/d/11923uPwbBZFjjGgGUA6NLw09EwE0CqkOc4q9oUmW1yo/edit?usp=sharing"",""กำแพงเพชร!J156"")"),1)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IFERROR(__xludf.DUMMYFUNCTION("IMPORTRANGE(""https://docs.google.com/spreadsheets/d/11923uPwbBZFjjGgGUA6NLw09EwE0CqkOc4q9oUmW1yo/edit?usp=sharing"",""กำแพงเพชร!J157"")"),1)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IFERROR(__xludf.DUMMYFUNCTION("IMPORTRANGE(""https://docs.google.com/spreadsheets/d/11923uPwbBZFjjGgGUA6NLw09EwE0CqkOc4q9oUmW1yo/edit?usp=sharing"",""กำแพงเพชร!I158"")"),0)</f>
        <v>0</v>
      </c>
      <c r="J238" s="267">
        <f ca="1">IFERROR(__xludf.DUMMYFUNCTION("IMPORTRANGE(""https://docs.google.com/spreadsheets/d/11923uPwbBZFjjGgGUA6NLw09EwE0CqkOc4q9oUmW1yo/edit?usp=sharing"",""กำแพงเพชร!J158"")"),0)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IFERROR(__xludf.DUMMYFUNCTION("IMPORTRANGE(""https://docs.google.com/spreadsheets/d/11923uPwbBZFjjGgGUA6NLw09EwE0CqkOc4q9oUmW1yo/edit?usp=sharing"",""กำแพงเพชร!J159"")"),"")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IFERROR(__xludf.DUMMYFUNCTION("IMPORTRANGE(""https://docs.google.com/spreadsheets/d/11923uPwbBZFjjGgGUA6NLw09EwE0CqkOc4q9oUmW1yo/edit?usp=sharing"",""กำแพงเพชร!J161"")"),0)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IFERROR(__xludf.DUMMYFUNCTION("IMPORTRANGE(""https://docs.google.com/spreadsheets/d/11923uPwbBZFjjGgGUA6NLw09EwE0CqkOc4q9oUmW1yo/edit?usp=sharing"",""กำแพงเพชร!J162"")"),0)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IFERROR(__xludf.DUMMYFUNCTION("IMPORTRANGE(""https://docs.google.com/spreadsheets/d/11923uPwbBZFjjGgGUA6NLw09EwE0CqkOc4q9oUmW1yo/edit?usp=sharing"",""กำแพงเพชร!J163"")"),0)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IFERROR(__xludf.DUMMYFUNCTION("IMPORTRANGE(""https://docs.google.com/spreadsheets/d/11923uPwbBZFjjGgGUA6NLw09EwE0CqkOc4q9oUmW1yo/edit?usp=sharing"",""กำแพงเพชร!I164"")"),0)</f>
        <v>0</v>
      </c>
      <c r="J244" s="187">
        <f ca="1">IFERROR(__xludf.DUMMYFUNCTION("IMPORTRANGE(""https://docs.google.com/spreadsheets/d/11923uPwbBZFjjGgGUA6NLw09EwE0CqkOc4q9oUmW1yo/edit?usp=sharing"",""กำแพงเพชร!J164"")"),0)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IFERROR(__xludf.DUMMYFUNCTION("IMPORTRANGE(""https://docs.google.com/spreadsheets/d/11923uPwbBZFjjGgGUA6NLw09EwE0CqkOc4q9oUmW1yo/edit?usp=sharing"",""กำแพงเพชร!J165"")"),0)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IFERROR(__xludf.DUMMYFUNCTION("IMPORTRANGE(""https://docs.google.com/spreadsheets/d/11923uPwbBZFjjGgGUA6NLw09EwE0CqkOc4q9oUmW1yo/edit?usp=sharing"",""กำแพงเพชร!J166"")"),0)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IFERROR(__xludf.DUMMYFUNCTION("IMPORTRANGE(""https://docs.google.com/spreadsheets/d/11923uPwbBZFjjGgGUA6NLw09EwE0CqkOc4q9oUmW1yo/edit?usp=sharing"",""กำแพงเพชร!I169"")"),0)</f>
        <v>0</v>
      </c>
      <c r="J249" s="316">
        <f ca="1">IFERROR(__xludf.DUMMYFUNCTION("IMPORTRANGE(""https://docs.google.com/spreadsheets/d/11923uPwbBZFjjGgGUA6NLw09EwE0CqkOc4q9oUmW1yo/edit?usp=sharing"",""กำแพงเพชร!J169"")"),0)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IFERROR(__xludf.DUMMYFUNCTION("IMPORTRANGE(""https://docs.google.com/spreadsheets/d/1Yj_ptqi66GCucihVvJfMjLAmec39IyEx_6qawtMGysU/edit?usp=sharing"",""สบก!CB20"")"),0)</f>
        <v>0</v>
      </c>
      <c r="N254" s="168">
        <f ca="1">IFERROR(__xludf.DUMMYFUNCTION("IMPORTRANGE(""https://docs.google.com/spreadsheets/d/1Yj_ptqi66GCucihVvJfMjLAmec39IyEx_6qawtMGysU/edit?usp=sharing"",""สบก!CC20"")"),0)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IFERROR(__xludf.DUMMYFUNCTION("IMPORTRANGE(""https://docs.google.com/spreadsheets/d/1Yj_ptqi66GCucihVvJfMjLAmec39IyEx_6qawtMGysU/edit?usp=sharing"",""สบก!BX20"")"),0)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IFERROR(__xludf.DUMMYFUNCTION("IMPORTRANGE(""https://docs.google.com/spreadsheets/d/1Yj_ptqi66GCucihVvJfMjLAmec39IyEx_6qawtMGysU/edit?usp=sharing"",""สบก!BY20"")"),0)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IFERROR(__xludf.DUMMYFUNCTION("IMPORTRANGE(""https://docs.google.com/spreadsheets/d/1Yj_ptqi66GCucihVvJfMjLAmec39IyEx_6qawtMGysU/edit?usp=sharing"",""สบก!BZ20"")"),0)</f>
        <v>0</v>
      </c>
      <c r="M258" s="50"/>
      <c r="N258" s="50">
        <f ca="1">IFERROR(__xludf.DUMMYFUNCTION("IMPORTRANGE(""https://docs.google.com/spreadsheets/d/1Yj_ptqi66GCucihVvJfMjLAmec39IyEx_6qawtMGysU/edit?usp=sharing"",""สบก!CD20"")"),0)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IFERROR(__xludf.DUMMYFUNCTION("IMPORTRANGE(""https://docs.google.com/spreadsheets/d/11923uPwbBZFjjGgGUA6NLw09EwE0CqkOc4q9oUmW1yo/edit?usp=sharing"",""กำแพงเพชร!J175"")"),0)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IFERROR(__xludf.DUMMYFUNCTION("IMPORTRANGE(""https://docs.google.com/spreadsheets/d/11923uPwbBZFjjGgGUA6NLw09EwE0CqkOc4q9oUmW1yo/edit?usp=sharing"",""กำแพงเพชร!J176"")"),0)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IFERROR(__xludf.DUMMYFUNCTION("IMPORTRANGE(""https://docs.google.com/spreadsheets/d/11923uPwbBZFjjGgGUA6NLw09EwE0CqkOc4q9oUmW1yo/edit?usp=sharing"",""กำแพงเพชร!J177"")"),0)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IFERROR(__xludf.DUMMYFUNCTION("IMPORTRANGE(""https://docs.google.com/spreadsheets/d/11923uPwbBZFjjGgGUA6NLw09EwE0CqkOc4q9oUmW1yo/edit?usp=sharing"",""กำแพงเพชร!J178"")"),0)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IFERROR(__xludf.DUMMYFUNCTION("IMPORTRANGE(""https://docs.google.com/spreadsheets/d/11923uPwbBZFjjGgGUA6NLw09EwE0CqkOc4q9oUmW1yo/edit?usp=sharing"",""กำแพงเพชร!I179"")"),0)</f>
        <v>0</v>
      </c>
      <c r="J264" s="188">
        <f ca="1">IFERROR(__xludf.DUMMYFUNCTION("IMPORTRANGE(""https://docs.google.com/spreadsheets/d/11923uPwbBZFjjGgGUA6NLw09EwE0CqkOc4q9oUmW1yo/edit?usp=sharing"",""กำแพงเพชร!J179"")"),0)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IFERROR(__xludf.DUMMYFUNCTION("IMPORTRANGE(""https://docs.google.com/spreadsheets/d/11923uPwbBZFjjGgGUA6NLw09EwE0CqkOc4q9oUmW1yo/edit?usp=sharing"",""กำแพงเพชร!I180"")"),0)</f>
        <v>0</v>
      </c>
      <c r="J265" s="188">
        <f ca="1">IFERROR(__xludf.DUMMYFUNCTION("IMPORTRANGE(""https://docs.google.com/spreadsheets/d/11923uPwbBZFjjGgGUA6NLw09EwE0CqkOc4q9oUmW1yo/edit?usp=sharing"",""กำแพงเพชร!J180"")"),0)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IFERROR(__xludf.DUMMYFUNCTION("IMPORTRANGE(""https://docs.google.com/spreadsheets/d/11923uPwbBZFjjGgGUA6NLw09EwE0CqkOc4q9oUmW1yo/edit?usp=sharing"",""กำแพงเพชร!I181"")"),0)</f>
        <v>0</v>
      </c>
      <c r="J266" s="188">
        <f ca="1">IFERROR(__xludf.DUMMYFUNCTION("IMPORTRANGE(""https://docs.google.com/spreadsheets/d/11923uPwbBZFjjGgGUA6NLw09EwE0CqkOc4q9oUmW1yo/edit?usp=sharing"",""กำแพงเพชร!J181"")"),0)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IFERROR(__xludf.DUMMYFUNCTION("IMPORTRANGE(""https://docs.google.com/spreadsheets/d/11923uPwbBZFjjGgGUA6NLw09EwE0CqkOc4q9oUmW1yo/edit?usp=sharing"",""กำแพงเพชร!I182"")"),0)</f>
        <v>0</v>
      </c>
      <c r="J267" s="188">
        <f ca="1">IFERROR(__xludf.DUMMYFUNCTION("IMPORTRANGE(""https://docs.google.com/spreadsheets/d/11923uPwbBZFjjGgGUA6NLw09EwE0CqkOc4q9oUmW1yo/edit?usp=sharing"",""กำแพงเพชร!J182"")"),0)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IFERROR(__xludf.DUMMYFUNCTION("IMPORTRANGE(""https://docs.google.com/spreadsheets/d/11923uPwbBZFjjGgGUA6NLw09EwE0CqkOc4q9oUmW1yo/edit?usp=sharing"",""กำแพงเพชร!J183"")"),0)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IFERROR(__xludf.DUMMYFUNCTION("IMPORTRANGE(""https://docs.google.com/spreadsheets/d/11923uPwbBZFjjGgGUA6NLw09EwE0CqkOc4q9oUmW1yo/edit?usp=sharing"",""กำแพงเพชร!J184"")"),0)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IFERROR(__xludf.DUMMYFUNCTION("IMPORTRANGE(""https://docs.google.com/spreadsheets/d/11923uPwbBZFjjGgGUA6NLw09EwE0CqkOc4q9oUmW1yo/edit?usp=sharing"",""กำแพงเพชร!I185"")"),15)</f>
        <v>15</v>
      </c>
      <c r="J270" s="316">
        <f ca="1">IFERROR(__xludf.DUMMYFUNCTION("IMPORTRANGE(""https://docs.google.com/spreadsheets/d/11923uPwbBZFjjGgGUA6NLw09EwE0CqkOc4q9oUmW1yo/edit?usp=sharing"",""กำแพงเพชร!J185"")"),15)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230250</v>
      </c>
      <c r="N271" s="152">
        <f t="shared" ca="1" si="83"/>
        <v>164776</v>
      </c>
      <c r="O271" s="151">
        <f t="shared" ref="O271:O273" ca="1" si="84">IF(L271&gt;0,N271*100/L271,0)</f>
        <v>51.62155388471178</v>
      </c>
      <c r="P271" s="151">
        <f t="shared" ref="P271:P273" ca="1" si="85">IF(M271&gt;0,N271*100/M271,0)</f>
        <v>71.563952225841476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319200</v>
      </c>
      <c r="M273" s="88">
        <f t="shared" ca="1" si="87"/>
        <v>230250</v>
      </c>
      <c r="N273" s="88">
        <f t="shared" ca="1" si="87"/>
        <v>164776</v>
      </c>
      <c r="O273" s="156">
        <f t="shared" ca="1" si="84"/>
        <v>51.62155388471178</v>
      </c>
      <c r="P273" s="156">
        <f t="shared" ca="1" si="85"/>
        <v>71.563952225841476</v>
      </c>
    </row>
    <row r="274" spans="1:16" ht="21.75" customHeight="1" x14ac:dyDescent="0.45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319200</v>
      </c>
      <c r="M275" s="167">
        <f ca="1">IFERROR(__xludf.DUMMYFUNCTION("IMPORTRANGE(""https://docs.google.com/spreadsheets/d/1Yj_ptqi66GCucihVvJfMjLAmec39IyEx_6qawtMGysU/edit?usp=sharing"",""สบก!CK20"")"),230250)</f>
        <v>230250</v>
      </c>
      <c r="N275" s="168">
        <f ca="1">IFERROR(__xludf.DUMMYFUNCTION("IMPORTRANGE(""https://docs.google.com/spreadsheets/d/1Yj_ptqi66GCucihVvJfMjLAmec39IyEx_6qawtMGysU/edit?usp=sharing"",""สบก!CL20"")"),164776)</f>
        <v>164776</v>
      </c>
      <c r="O275" s="168">
        <f ca="1">IF(L275&gt;0,N275*100/L275,0)</f>
        <v>51.62155388471178</v>
      </c>
      <c r="P275" s="168">
        <f ca="1">IF(M275&gt;0,N275*100/M275,0)</f>
        <v>71.563952225841476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IFERROR(__xludf.DUMMYFUNCTION("IMPORTRANGE(""https://docs.google.com/spreadsheets/d/1Yj_ptqi66GCucihVvJfMjLAmec39IyEx_6qawtMGysU/edit?usp=sharing"",""สบก!CG20"")"),264000)</f>
        <v>264000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IFERROR(__xludf.DUMMYFUNCTION("IMPORTRANGE(""https://docs.google.com/spreadsheets/d/1Yj_ptqi66GCucihVvJfMjLAmec39IyEx_6qawtMGysU/edit?usp=sharing"",""สบก!CH20"")"),55200)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IFERROR(__xludf.DUMMYFUNCTION("IMPORTRANGE(""https://docs.google.com/spreadsheets/d/1Yj_ptqi66GCucihVvJfMjLAmec39IyEx_6qawtMGysU/edit?usp=sharing"",""สบก!CI20"")"),0)</f>
        <v>0</v>
      </c>
      <c r="M279" s="50"/>
      <c r="N279" s="50">
        <f ca="1">IFERROR(__xludf.DUMMYFUNCTION("IMPORTRANGE(""https://docs.google.com/spreadsheets/d/1Yj_ptqi66GCucihVvJfMjLAmec39IyEx_6qawtMGysU/edit?usp=sharing"",""สบก!CM20"")"),0)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IFERROR(__xludf.DUMMYFUNCTION("IMPORTRANGE(""https://docs.google.com/spreadsheets/d/11923uPwbBZFjjGgGUA6NLw09EwE0CqkOc4q9oUmW1yo/edit?usp=sharing"",""กำแพงเพชร!J191"")"),0)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IFERROR(__xludf.DUMMYFUNCTION("IMPORTRANGE(""https://docs.google.com/spreadsheets/d/11923uPwbBZFjjGgGUA6NLw09EwE0CqkOc4q9oUmW1yo/edit?usp=sharing"",""กำแพงเพชร!J192"")"),1)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IFERROR(__xludf.DUMMYFUNCTION("IMPORTRANGE(""https://docs.google.com/spreadsheets/d/11923uPwbBZFjjGgGUA6NLw09EwE0CqkOc4q9oUmW1yo/edit?usp=sharing"",""กำแพงเพชร!J193"")"),1)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IFERROR(__xludf.DUMMYFUNCTION("IMPORTRANGE(""https://docs.google.com/spreadsheets/d/11923uPwbBZFjjGgGUA6NLw09EwE0CqkOc4q9oUmW1yo/edit?usp=sharing"",""กำแพงเพชร!J194"")"),1)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IFERROR(__xludf.DUMMYFUNCTION("IMPORTRANGE(""https://docs.google.com/spreadsheets/d/11923uPwbBZFjjGgGUA6NLw09EwE0CqkOc4q9oUmW1yo/edit?usp=sharing"",""กำแพงเพชร!I195"")"),15)</f>
        <v>15</v>
      </c>
      <c r="J285" s="188">
        <f ca="1">IFERROR(__xludf.DUMMYFUNCTION("IMPORTRANGE(""https://docs.google.com/spreadsheets/d/11923uPwbBZFjjGgGUA6NLw09EwE0CqkOc4q9oUmW1yo/edit?usp=sharing"",""กำแพงเพชร!J195"")"),15)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IFERROR(__xludf.DUMMYFUNCTION("IMPORTRANGE(""https://docs.google.com/spreadsheets/d/11923uPwbBZFjjGgGUA6NLw09EwE0CqkOc4q9oUmW1yo/edit?usp=sharing"",""กำแพงเพชร!J196"")"),0)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IFERROR(__xludf.DUMMYFUNCTION("IMPORTRANGE(""https://docs.google.com/spreadsheets/d/11923uPwbBZFjjGgGUA6NLw09EwE0CqkOc4q9oUmW1yo/edit?usp=sharing"",""กำแพงเพชร!J197"")"),0)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IFERROR(__xludf.DUMMYFUNCTION("IMPORTRANGE(""https://docs.google.com/spreadsheets/d/11923uPwbBZFjjGgGUA6NLw09EwE0CqkOc4q9oUmW1yo/edit?usp=sharing"",""กำแพงเพชร!I199"")"),0)</f>
        <v>0</v>
      </c>
      <c r="J289" s="316">
        <f ca="1">IFERROR(__xludf.DUMMYFUNCTION("IMPORTRANGE(""https://docs.google.com/spreadsheets/d/11923uPwbBZFjjGgGUA6NLw09EwE0CqkOc4q9oUmW1yo/edit?usp=sharing"",""กำแพงเพชร!J199"")"),0)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IFERROR(__xludf.DUMMYFUNCTION("IMPORTRANGE(""https://docs.google.com/spreadsheets/d/1Yj_ptqi66GCucihVvJfMjLAmec39IyEx_6qawtMGysU/edit?usp=sharing"",""สบก!CT20"")"),0)</f>
        <v>0</v>
      </c>
      <c r="N294" s="168">
        <f ca="1">IFERROR(__xludf.DUMMYFUNCTION("IMPORTRANGE(""https://docs.google.com/spreadsheets/d/1Yj_ptqi66GCucihVvJfMjLAmec39IyEx_6qawtMGysU/edit?usp=sharing"",""สบก!CU20"")"),0)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IFERROR(__xludf.DUMMYFUNCTION("IMPORTRANGE(""https://docs.google.com/spreadsheets/d/1Yj_ptqi66GCucihVvJfMjLAmec39IyEx_6qawtMGysU/edit?usp=sharing"",""สบก!CP20"")"),0)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IFERROR(__xludf.DUMMYFUNCTION("IMPORTRANGE(""https://docs.google.com/spreadsheets/d/1Yj_ptqi66GCucihVvJfMjLAmec39IyEx_6qawtMGysU/edit?usp=sharing"",""สบก!CQ20"")"),0)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IFERROR(__xludf.DUMMYFUNCTION("IMPORTRANGE(""https://docs.google.com/spreadsheets/d/1Yj_ptqi66GCucihVvJfMjLAmec39IyEx_6qawtMGysU/edit?usp=sharing"",""สบก!CR20"")"),0)</f>
        <v>0</v>
      </c>
      <c r="M298" s="50"/>
      <c r="N298" s="50">
        <f ca="1">IFERROR(__xludf.DUMMYFUNCTION("IMPORTRANGE(""https://docs.google.com/spreadsheets/d/1Yj_ptqi66GCucihVvJfMjLAmec39IyEx_6qawtMGysU/edit?usp=sharing"",""สบก!CV20"")"),0)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IFERROR(__xludf.DUMMYFUNCTION("IMPORTRANGE(""https://docs.google.com/spreadsheets/d/11923uPwbBZFjjGgGUA6NLw09EwE0CqkOc4q9oUmW1yo/edit?usp=sharing"",""กำแพงเพชร!J205"")"),0)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IFERROR(__xludf.DUMMYFUNCTION("IMPORTRANGE(""https://docs.google.com/spreadsheets/d/11923uPwbBZFjjGgGUA6NLw09EwE0CqkOc4q9oUmW1yo/edit?usp=sharing"",""กำแพงเพชร!J206"")"),0)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IFERROR(__xludf.DUMMYFUNCTION("IMPORTRANGE(""https://docs.google.com/spreadsheets/d/11923uPwbBZFjjGgGUA6NLw09EwE0CqkOc4q9oUmW1yo/edit?usp=sharing"",""กำแพงเพชร!J207"")"),0)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IFERROR(__xludf.DUMMYFUNCTION("IMPORTRANGE(""https://docs.google.com/spreadsheets/d/11923uPwbBZFjjGgGUA6NLw09EwE0CqkOc4q9oUmW1yo/edit?usp=sharing"",""กำแพงเพชร!J208"")"),0)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IFERROR(__xludf.DUMMYFUNCTION("IMPORTRANGE(""https://docs.google.com/spreadsheets/d/11923uPwbBZFjjGgGUA6NLw09EwE0CqkOc4q9oUmW1yo/edit?usp=sharing"",""กำแพงเพชร!I209"")"),0)</f>
        <v>0</v>
      </c>
      <c r="J304" s="203">
        <f ca="1">IFERROR(__xludf.DUMMYFUNCTION("IMPORTRANGE(""https://docs.google.com/spreadsheets/d/11923uPwbBZFjjGgGUA6NLw09EwE0CqkOc4q9oUmW1yo/edit?usp=sharing"",""กำแพงเพชร!J209"")"),0)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IFERROR(__xludf.DUMMYFUNCTION("IMPORTRANGE(""https://docs.google.com/spreadsheets/d/11923uPwbBZFjjGgGUA6NLw09EwE0CqkOc4q9oUmW1yo/edit?usp=sharing"",""กำแพงเพชร!I211"")"),0)</f>
        <v>0</v>
      </c>
      <c r="J306" s="203">
        <f ca="1">IFERROR(__xludf.DUMMYFUNCTION("IMPORTRANGE(""https://docs.google.com/spreadsheets/d/11923uPwbBZFjjGgGUA6NLw09EwE0CqkOc4q9oUmW1yo/edit?usp=sharing"",""กำแพงเพชร!J211"")"),0)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IFERROR(__xludf.DUMMYFUNCTION("IMPORTRANGE(""https://docs.google.com/spreadsheets/d/11923uPwbBZFjjGgGUA6NLw09EwE0CqkOc4q9oUmW1yo/edit?usp=sharing"",""กำแพงเพชร!J212"")"),0)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IFERROR(__xludf.DUMMYFUNCTION("IMPORTRANGE(""https://docs.google.com/spreadsheets/d/11923uPwbBZFjjGgGUA6NLw09EwE0CqkOc4q9oUmW1yo/edit?usp=sharing"",""กำแพงเพชร!J213"")"),0)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IFERROR(__xludf.DUMMYFUNCTION("IMPORTRANGE(""https://docs.google.com/spreadsheets/d/11923uPwbBZFjjGgGUA6NLw09EwE0CqkOc4q9oUmW1yo/edit?usp=sharing"",""กำแพงเพชร!I214"")"),1)</f>
        <v>1</v>
      </c>
      <c r="J309" s="333">
        <f ca="1">IFERROR(__xludf.DUMMYFUNCTION("IMPORTRANGE(""https://docs.google.com/spreadsheets/d/11923uPwbBZFjjGgGUA6NLw09EwE0CqkOc4q9oUmW1yo/edit?usp=sharing"",""กำแพงเพชร!J214"")"),1)</f>
        <v>1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6"/>
      <c r="J310" s="336"/>
      <c r="K310" s="337"/>
      <c r="L310" s="152">
        <f t="shared" ref="L310:N310" ca="1" si="93">L311+L312</f>
        <v>194600</v>
      </c>
      <c r="M310" s="152">
        <f t="shared" ca="1" si="93"/>
        <v>146000</v>
      </c>
      <c r="N310" s="152">
        <f t="shared" ca="1" si="93"/>
        <v>64954.84</v>
      </c>
      <c r="O310" s="151">
        <f t="shared" ref="O310:O312" ca="1" si="94">IF(L310&gt;0,N310*100/L310,0)</f>
        <v>33.378643371017475</v>
      </c>
      <c r="P310" s="151">
        <f t="shared" ref="P310:P312" ca="1" si="95">IF(M310&gt;0,N310*100/M310,0)</f>
        <v>44.489616438356165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194600</v>
      </c>
      <c r="M312" s="88">
        <f t="shared" ca="1" si="97"/>
        <v>146000</v>
      </c>
      <c r="N312" s="88">
        <f t="shared" ca="1" si="97"/>
        <v>64954.84</v>
      </c>
      <c r="O312" s="156">
        <f t="shared" ca="1" si="94"/>
        <v>33.378643371017475</v>
      </c>
      <c r="P312" s="156">
        <f t="shared" ca="1" si="95"/>
        <v>44.489616438356165</v>
      </c>
    </row>
    <row r="313" spans="1:16" ht="21.75" customHeight="1" x14ac:dyDescent="0.45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194600</v>
      </c>
      <c r="M314" s="167">
        <f ca="1">IFERROR(__xludf.DUMMYFUNCTION("IMPORTRANGE(""https://docs.google.com/spreadsheets/d/1Yj_ptqi66GCucihVvJfMjLAmec39IyEx_6qawtMGysU/edit?usp=sharing"",""สบก!DC20"")"),146000)</f>
        <v>146000</v>
      </c>
      <c r="N314" s="168">
        <f ca="1">IFERROR(__xludf.DUMMYFUNCTION("IMPORTRANGE(""https://docs.google.com/spreadsheets/d/1Yj_ptqi66GCucihVvJfMjLAmec39IyEx_6qawtMGysU/edit?usp=sharing"",""สบก!DD20"")"),64954.84)</f>
        <v>64954.84</v>
      </c>
      <c r="O314" s="168">
        <f ca="1">IF(L314&gt;0,N314*100/L314,0)</f>
        <v>33.378643371017475</v>
      </c>
      <c r="P314" s="168">
        <f ca="1">IF(M314&gt;0,N314*100/M314,0)</f>
        <v>44.489616438356165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IFERROR(__xludf.DUMMYFUNCTION("IMPORTRANGE(""https://docs.google.com/spreadsheets/d/1Yj_ptqi66GCucihVvJfMjLAmec39IyEx_6qawtMGysU/edit?usp=sharing"",""สบก!CY20"")"),0)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IFERROR(__xludf.DUMMYFUNCTION("IMPORTRANGE(""https://docs.google.com/spreadsheets/d/1Yj_ptqi66GCucihVvJfMjLAmec39IyEx_6qawtMGysU/edit?usp=sharing"",""สบก!CZ20"")"),194600)</f>
        <v>194600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IFERROR(__xludf.DUMMYFUNCTION("IMPORTRANGE(""https://docs.google.com/spreadsheets/d/1Yj_ptqi66GCucihVvJfMjLAmec39IyEx_6qawtMGysU/edit?usp=sharing"",""สบก!DA20"")"),0)</f>
        <v>0</v>
      </c>
      <c r="M318" s="50"/>
      <c r="N318" s="50">
        <f ca="1">IFERROR(__xludf.DUMMYFUNCTION("IMPORTRANGE(""https://docs.google.com/spreadsheets/d/1Yj_ptqi66GCucihVvJfMjLAmec39IyEx_6qawtMGysU/edit?usp=sharing"",""สบก!DE20"")"),0)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IFERROR(__xludf.DUMMYFUNCTION("IMPORTRANGE(""https://docs.google.com/spreadsheets/d/11923uPwbBZFjjGgGUA6NLw09EwE0CqkOc4q9oUmW1yo/edit?usp=sharing"",""กำแพงเพชร!J220"")"),0)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IFERROR(__xludf.DUMMYFUNCTION("IMPORTRANGE(""https://docs.google.com/spreadsheets/d/11923uPwbBZFjjGgGUA6NLw09EwE0CqkOc4q9oUmW1yo/edit?usp=sharing"",""กำแพงเพชร!J221"")"),1)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IFERROR(__xludf.DUMMYFUNCTION("IMPORTRANGE(""https://docs.google.com/spreadsheets/d/11923uPwbBZFjjGgGUA6NLw09EwE0CqkOc4q9oUmW1yo/edit?usp=sharing"",""กำแพงเพชร!J222"")"),0)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IFERROR(__xludf.DUMMYFUNCTION("IMPORTRANGE(""https://docs.google.com/spreadsheets/d/11923uPwbBZFjjGgGUA6NLw09EwE0CqkOc4q9oUmW1yo/edit?usp=sharing"",""กำแพงเพชร!J223"")"),1)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IFERROR(__xludf.DUMMYFUNCTION("IMPORTRANGE(""https://docs.google.com/spreadsheets/d/11923uPwbBZFjjGgGUA6NLw09EwE0CqkOc4q9oUmW1yo/edit?usp=sharing"",""กำแพงเพชร!I224"")"),1)</f>
        <v>1</v>
      </c>
      <c r="J324" s="203">
        <f ca="1">IFERROR(__xludf.DUMMYFUNCTION("IMPORTRANGE(""https://docs.google.com/spreadsheets/d/11923uPwbBZFjjGgGUA6NLw09EwE0CqkOc4q9oUmW1yo/edit?usp=sharing"",""กำแพงเพชร!J224"")"),1)</f>
        <v>1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IFERROR(__xludf.DUMMYFUNCTION("IMPORTRANGE(""https://docs.google.com/spreadsheets/d/11923uPwbBZFjjGgGUA6NLw09EwE0CqkOc4q9oUmW1yo/edit?usp=sharing"",""กำแพงเพชร!J225"")"),0)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IFERROR(__xludf.DUMMYFUNCTION("IMPORTRANGE(""https://docs.google.com/spreadsheets/d/11923uPwbBZFjjGgGUA6NLw09EwE0CqkOc4q9oUmW1yo/edit?usp=sharing"",""กำแพงเพชร!J226"")"),0)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IFERROR(__xludf.DUMMYFUNCTION("IMPORTRANGE(""https://docs.google.com/spreadsheets/d/11923uPwbBZFjjGgGUA6NLw09EwE0CqkOc4q9oUmW1yo/edit?usp=sharing"",""กำแพงเพชร!I228"")"),1209)</f>
        <v>1209</v>
      </c>
      <c r="J328" s="339">
        <f ca="1">IFERROR(__xludf.DUMMYFUNCTION("IMPORTRANGE(""https://docs.google.com/spreadsheets/d/11923uPwbBZFjjGgGUA6NLw09EwE0CqkOc4q9oUmW1yo/edit?usp=sharing"",""กำแพงเพชร!J228"")"),73)</f>
        <v>73</v>
      </c>
      <c r="K328" s="317">
        <f ca="1">IF(I328&gt;0,J328*100/I328,0)</f>
        <v>6.0380479735318442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1987630</v>
      </c>
      <c r="M329" s="152">
        <f t="shared" ca="1" si="98"/>
        <v>1543650</v>
      </c>
      <c r="N329" s="152">
        <f t="shared" ca="1" si="98"/>
        <v>942499.69</v>
      </c>
      <c r="O329" s="151">
        <f t="shared" ref="O329:O331" ca="1" si="99">IF(L329&gt;0,N329*100/L329,0)</f>
        <v>47.418266478167467</v>
      </c>
      <c r="P329" s="151">
        <f t="shared" ref="P329:P331" ca="1" si="100">IF(M329&gt;0,N329*100/M329,0)</f>
        <v>61.056566579211612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1987630</v>
      </c>
      <c r="M331" s="88">
        <f t="shared" ca="1" si="102"/>
        <v>1543650</v>
      </c>
      <c r="N331" s="88">
        <f t="shared" ca="1" si="102"/>
        <v>942499.69</v>
      </c>
      <c r="O331" s="156">
        <f t="shared" ca="1" si="99"/>
        <v>47.418266478167467</v>
      </c>
      <c r="P331" s="156">
        <f t="shared" ca="1" si="100"/>
        <v>61.056566579211612</v>
      </c>
    </row>
    <row r="332" spans="1:16" ht="21.75" customHeight="1" x14ac:dyDescent="0.45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1987630</v>
      </c>
      <c r="M333" s="167">
        <f ca="1">IFERROR(__xludf.DUMMYFUNCTION("IMPORTRANGE(""https://docs.google.com/spreadsheets/d/1Yj_ptqi66GCucihVvJfMjLAmec39IyEx_6qawtMGysU/edit?usp=sharing"",""สบก!DL20"")"),1543650)</f>
        <v>1543650</v>
      </c>
      <c r="N333" s="168">
        <f ca="1">IFERROR(__xludf.DUMMYFUNCTION("IMPORTRANGE(""https://docs.google.com/spreadsheets/d/1Yj_ptqi66GCucihVvJfMjLAmec39IyEx_6qawtMGysU/edit?usp=sharing"",""สบก!DM20"")"),942499.69)</f>
        <v>942499.69</v>
      </c>
      <c r="O333" s="168">
        <f ca="1">IF(L333&gt;0,N333*100/L333,0)</f>
        <v>47.418266478167467</v>
      </c>
      <c r="P333" s="168">
        <f ca="1">IF(M333&gt;0,N333*100/M333,0)</f>
        <v>61.056566579211612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IFERROR(__xludf.DUMMYFUNCTION("IMPORTRANGE(""https://docs.google.com/spreadsheets/d/1Yj_ptqi66GCucihVvJfMjLAmec39IyEx_6qawtMGysU/edit?usp=sharing"",""สบก!DH20"")"),607100)</f>
        <v>607100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IFERROR(__xludf.DUMMYFUNCTION("IMPORTRANGE(""https://docs.google.com/spreadsheets/d/1Yj_ptqi66GCucihVvJfMjLAmec39IyEx_6qawtMGysU/edit?usp=sharing"",""สบก!DI20"")"),1380530)</f>
        <v>1380530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IFERROR(__xludf.DUMMYFUNCTION("IMPORTRANGE(""https://docs.google.com/spreadsheets/d/1Yj_ptqi66GCucihVvJfMjLAmec39IyEx_6qawtMGysU/edit?usp=sharing"",""สบก!DJ20"")"),0)</f>
        <v>0</v>
      </c>
      <c r="M337" s="50"/>
      <c r="N337" s="50">
        <f ca="1">IFERROR(__xludf.DUMMYFUNCTION("IMPORTRANGE(""https://docs.google.com/spreadsheets/d/1Yj_ptqi66GCucihVvJfMjLAmec39IyEx_6qawtMGysU/edit?usp=sharing"",""สบก!DN20"")"),0)</f>
        <v>0</v>
      </c>
      <c r="O337" s="50">
        <f ca="1">IF(L337&gt;0,N337*100/L337,0)</f>
        <v>0</v>
      </c>
      <c r="P337" s="50"/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IFERROR(__xludf.DUMMYFUNCTION("IMPORTRANGE(""https://docs.google.com/spreadsheets/d/11923uPwbBZFjjGgGUA6NLw09EwE0CqkOc4q9oUmW1yo/edit?usp=sharing"",""กำแพงเพชร!I234"")"),0)</f>
        <v>0</v>
      </c>
      <c r="J339" s="187">
        <f ca="1">IFERROR(__xludf.DUMMYFUNCTION("IMPORTRANGE(""https://docs.google.com/spreadsheets/d/11923uPwbBZFjjGgGUA6NLw09EwE0CqkOc4q9oUmW1yo/edit?usp=sharing"",""กำแพงเพชร!J234"")"),288)</f>
        <v>288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IFERROR(__xludf.DUMMYFUNCTION("IMPORTRANGE(""https://docs.google.com/spreadsheets/d/11923uPwbBZFjjGgGUA6NLw09EwE0CqkOc4q9oUmW1yo/edit?usp=sharing"",""กำแพงเพชร!I235"")"),8400)</f>
        <v>8400</v>
      </c>
      <c r="J340" s="187">
        <f ca="1">IFERROR(__xludf.DUMMYFUNCTION("IMPORTRANGE(""https://docs.google.com/spreadsheets/d/11923uPwbBZFjjGgGUA6NLw09EwE0CqkOc4q9oUmW1yo/edit?usp=sharing"",""กำแพงเพชร!J235"")"),2641.68999999999)</f>
        <v>2641.6899999999901</v>
      </c>
      <c r="K340" s="342">
        <f t="shared" ca="1" si="103"/>
        <v>31.448690476190357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IFERROR(__xludf.DUMMYFUNCTION("IMPORTRANGE(""https://docs.google.com/spreadsheets/d/11923uPwbBZFjjGgGUA6NLw09EwE0CqkOc4q9oUmW1yo/edit?usp=sharing"",""กำแพงเพชร!I236"")"),1209)</f>
        <v>1209</v>
      </c>
      <c r="J341" s="187">
        <f ca="1">IFERROR(__xludf.DUMMYFUNCTION("IMPORTRANGE(""https://docs.google.com/spreadsheets/d/11923uPwbBZFjjGgGUA6NLw09EwE0CqkOc4q9oUmW1yo/edit?usp=sharing"",""กำแพงเพชร!J236"")"),137)</f>
        <v>137</v>
      </c>
      <c r="K341" s="342">
        <f t="shared" ca="1" si="103"/>
        <v>11.331679073614557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IFERROR(__xludf.DUMMYFUNCTION("IMPORTRANGE(""https://docs.google.com/spreadsheets/d/11923uPwbBZFjjGgGUA6NLw09EwE0CqkOc4q9oUmW1yo/edit?usp=sharing"",""กำแพงเพชร!I237"")"),0)</f>
        <v>0</v>
      </c>
      <c r="J342" s="187">
        <f ca="1">IFERROR(__xludf.DUMMYFUNCTION("IMPORTRANGE(""https://docs.google.com/spreadsheets/d/11923uPwbBZFjjGgGUA6NLw09EwE0CqkOc4q9oUmW1yo/edit?usp=sharing"",""กำแพงเพชร!J237"")"),2079.41)</f>
        <v>2079.41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IFERROR(__xludf.DUMMYFUNCTION("IMPORTRANGE(""https://docs.google.com/spreadsheets/d/11923uPwbBZFjjGgGUA6NLw09EwE0CqkOc4q9oUmW1yo/edit?usp=sharing"",""กำแพงเพชร!I238"")"),1209)</f>
        <v>1209</v>
      </c>
      <c r="J343" s="187">
        <f ca="1">IFERROR(__xludf.DUMMYFUNCTION("IMPORTRANGE(""https://docs.google.com/spreadsheets/d/11923uPwbBZFjjGgGUA6NLw09EwE0CqkOc4q9oUmW1yo/edit?usp=sharing"",""กำแพงเพชร!J238"")"),0)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IFERROR(__xludf.DUMMYFUNCTION("IMPORTRANGE(""https://docs.google.com/spreadsheets/d/11923uPwbBZFjjGgGUA6NLw09EwE0CqkOc4q9oUmW1yo/edit?usp=sharing"",""กำแพงเพชร!I239"")"),0)</f>
        <v>0</v>
      </c>
      <c r="J344" s="187">
        <f ca="1">IFERROR(__xludf.DUMMYFUNCTION("IMPORTRANGE(""https://docs.google.com/spreadsheets/d/11923uPwbBZFjjGgGUA6NLw09EwE0CqkOc4q9oUmW1yo/edit?usp=sharing"",""กำแพงเพชร!J239"")"),0)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IFERROR(__xludf.DUMMYFUNCTION("IMPORTRANGE(""https://docs.google.com/spreadsheets/d/11923uPwbBZFjjGgGUA6NLw09EwE0CqkOc4q9oUmW1yo/edit?usp=sharing"",""กำแพงเพชร!I240"")"),1209)</f>
        <v>1209</v>
      </c>
      <c r="J345" s="187">
        <f ca="1">IFERROR(__xludf.DUMMYFUNCTION("IMPORTRANGE(""https://docs.google.com/spreadsheets/d/11923uPwbBZFjjGgGUA6NLw09EwE0CqkOc4q9oUmW1yo/edit?usp=sharing"",""กำแพงเพชร!J240"")"),73)</f>
        <v>73</v>
      </c>
      <c r="K345" s="342">
        <f t="shared" ca="1" si="103"/>
        <v>6.0380479735318442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IFERROR(__xludf.DUMMYFUNCTION("IMPORTRANGE(""https://docs.google.com/spreadsheets/d/11923uPwbBZFjjGgGUA6NLw09EwE0CqkOc4q9oUmW1yo/edit?usp=sharing"",""กำแพงเพชร!I241"")"),0)</f>
        <v>0</v>
      </c>
      <c r="J346" s="187">
        <f ca="1">IFERROR(__xludf.DUMMYFUNCTION("IMPORTRANGE(""https://docs.google.com/spreadsheets/d/11923uPwbBZFjjGgGUA6NLw09EwE0CqkOc4q9oUmW1yo/edit?usp=sharing"",""กำแพงเพชร!J241"")"),1134.7)</f>
        <v>1134.7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IFERROR(__xludf.DUMMYFUNCTION("IMPORTRANGE(""https://docs.google.com/spreadsheets/d/11923uPwbBZFjjGgGUA6NLw09EwE0CqkOc4q9oUmW1yo/edit?usp=sharing"",""กำแพงเพชร!L242"")"),3400636)</f>
        <v>3400636</v>
      </c>
      <c r="M347" s="357"/>
      <c r="N347" s="357">
        <f ca="1">IFERROR(__xludf.DUMMYFUNCTION("IMPORTRANGE(""https://docs.google.com/spreadsheets/d/11923uPwbBZFjjGgGUA6NLw09EwE0CqkOc4q9oUmW1yo/edit?usp=sharing"",""กำแพงเพชร!M242"")"),768755.45)</f>
        <v>768755.45</v>
      </c>
      <c r="O347" s="357">
        <f ca="1">+IF(L347&gt;0,N347*100/L347,0)</f>
        <v>22.606225717777498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IFERROR(__xludf.DUMMYFUNCTION("IMPORTRANGE(""https://docs.google.com/spreadsheets/d/11923uPwbBZFjjGgGUA6NLw09EwE0CqkOc4q9oUmW1yo/edit?usp=sharing"",""กำแพงเพชร!I244"")"),0)</f>
        <v>0</v>
      </c>
      <c r="J349" s="370">
        <f ca="1">IFERROR(__xludf.DUMMYFUNCTION("IMPORTRANGE(""https://docs.google.com/spreadsheets/d/11923uPwbBZFjjGgGUA6NLw09EwE0CqkOc4q9oUmW1yo/edit?usp=sharing"",""กำแพงเพชร!J244"")"),0)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IFERROR(__xludf.DUMMYFUNCTION("IMPORTRANGE(""https://docs.google.com/spreadsheets/d/11923uPwbBZFjjGgGUA6NLw09EwE0CqkOc4q9oUmW1yo/edit?usp=sharing"",""กำแพงเพชร!L244"")"),0)</f>
        <v>0</v>
      </c>
      <c r="M349" s="372"/>
      <c r="N349" s="372">
        <f ca="1">IFERROR(__xludf.DUMMYFUNCTION("IMPORTRANGE(""https://docs.google.com/spreadsheets/d/11923uPwbBZFjjGgGUA6NLw09EwE0CqkOc4q9oUmW1yo/edit?usp=sharing"",""กำแพงเพชร!M244"")"),0)</f>
        <v>0</v>
      </c>
      <c r="O349" s="372">
        <f ca="1">+IF(L349&gt;0,N349*100/L349,0)</f>
        <v>0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IFERROR(__xludf.DUMMYFUNCTION("IMPORTRANGE(""https://docs.google.com/spreadsheets/d/11923uPwbBZFjjGgGUA6NLw09EwE0CqkOc4q9oUmW1yo/edit?usp=sharing"",""กำแพงเพชร!I245"")"),0)</f>
        <v>0</v>
      </c>
      <c r="J350" s="370">
        <f ca="1">IFERROR(__xludf.DUMMYFUNCTION("IMPORTRANGE(""https://docs.google.com/spreadsheets/d/11923uPwbBZFjjGgGUA6NLw09EwE0CqkOc4q9oUmW1yo/edit?usp=sharing"",""กำแพงเพชร!J245"")"),0)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IFERROR(__xludf.DUMMYFUNCTION("IMPORTRANGE(""https://docs.google.com/spreadsheets/d/11923uPwbBZFjjGgGUA6NLw09EwE0CqkOc4q9oUmW1yo/edit?usp=sharing"",""กำแพงเพชร!L246"")"),0)</f>
        <v>0</v>
      </c>
      <c r="M351" s="164"/>
      <c r="N351" s="164">
        <f ca="1">IFERROR(__xludf.DUMMYFUNCTION("IMPORTRANGE(""https://docs.google.com/spreadsheets/d/11923uPwbBZFjjGgGUA6NLw09EwE0CqkOc4q9oUmW1yo/edit?usp=sharing"",""กำแพงเพชร!M246"")"),0)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IFERROR(__xludf.DUMMYFUNCTION("IMPORTRANGE(""https://docs.google.com/spreadsheets/d/11923uPwbBZFjjGgGUA6NLw09EwE0CqkOc4q9oUmW1yo/edit?usp=sharing"",""กำแพงเพชร!L247"")"),0)</f>
        <v>0</v>
      </c>
      <c r="M352" s="165"/>
      <c r="N352" s="164">
        <f ca="1">IFERROR(__xludf.DUMMYFUNCTION("IMPORTRANGE(""https://docs.google.com/spreadsheets/d/11923uPwbBZFjjGgGUA6NLw09EwE0CqkOc4q9oUmW1yo/edit?usp=sharing"",""กำแพงเพชร!M247"")"),0)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IFERROR(__xludf.DUMMYFUNCTION("IMPORTRANGE(""https://docs.google.com/spreadsheets/d/11923uPwbBZFjjGgGUA6NLw09EwE0CqkOc4q9oUmW1yo/edit?usp=sharing"",""กำแพงเพชร!L248"")"),0)</f>
        <v>0</v>
      </c>
      <c r="M353" s="168"/>
      <c r="N353" s="168">
        <f ca="1">IFERROR(__xludf.DUMMYFUNCTION("IMPORTRANGE(""https://docs.google.com/spreadsheets/d/11923uPwbBZFjjGgGUA6NLw09EwE0CqkOc4q9oUmW1yo/edit?usp=sharing"",""กำแพงเพชร!M248"")"),0)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IFERROR(__xludf.DUMMYFUNCTION("IMPORTRANGE(""https://docs.google.com/spreadsheets/d/11923uPwbBZFjjGgGUA6NLw09EwE0CqkOc4q9oUmW1yo/edit?usp=sharing"",""กำแพงเพชร!L249"")"),0)</f>
        <v>0</v>
      </c>
      <c r="M354" s="168"/>
      <c r="N354" s="167">
        <f ca="1">IFERROR(__xludf.DUMMYFUNCTION("IMPORTRANGE(""https://docs.google.com/spreadsheets/d/11923uPwbBZFjjGgGUA6NLw09EwE0CqkOc4q9oUmW1yo/edit?usp=sharing"",""กำแพงเพชร!M249"")"),0)</f>
        <v>0</v>
      </c>
      <c r="O354" s="168">
        <f t="shared" ca="1" si="105"/>
        <v>0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IFERROR(__xludf.DUMMYFUNCTION("IMPORTRANGE(""https://docs.google.com/spreadsheets/d/11923uPwbBZFjjGgGUA6NLw09EwE0CqkOc4q9oUmW1yo/edit?usp=sharing"",""กำแพงเพชร!M250"")"),0)</f>
        <v>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IFERROR(__xludf.DUMMYFUNCTION("IMPORTRANGE(""https://docs.google.com/spreadsheets/d/11923uPwbBZFjjGgGUA6NLw09EwE0CqkOc4q9oUmW1yo/edit?usp=sharing"",""กำแพงเพชร!M251"")"),0)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IFERROR(__xludf.DUMMYFUNCTION("IMPORTRANGE(""https://docs.google.com/spreadsheets/d/11923uPwbBZFjjGgGUA6NLw09EwE0CqkOc4q9oUmW1yo/edit?usp=sharing"",""กำแพงเพชร!M252"")"),0)</f>
        <v>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IFERROR(__xludf.DUMMYFUNCTION("IMPORTRANGE(""https://docs.google.com/spreadsheets/d/11923uPwbBZFjjGgGUA6NLw09EwE0CqkOc4q9oUmW1yo/edit?usp=sharing"",""กำแพงเพชร!M253"")"),0)</f>
        <v>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IFERROR(__xludf.DUMMYFUNCTION("IMPORTRANGE(""https://docs.google.com/spreadsheets/d/11923uPwbBZFjjGgGUA6NLw09EwE0CqkOc4q9oUmW1yo/edit?usp=sharing"",""กำแพงเพชร!J255"")"),0)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IFERROR(__xludf.DUMMYFUNCTION("IMPORTRANGE(""https://docs.google.com/spreadsheets/d/11923uPwbBZFjjGgGUA6NLw09EwE0CqkOc4q9oUmW1yo/edit?usp=sharing"",""กำแพงเพชร!J256"")"),0)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IFERROR(__xludf.DUMMYFUNCTION("IMPORTRANGE(""https://docs.google.com/spreadsheets/d/11923uPwbBZFjjGgGUA6NLw09EwE0CqkOc4q9oUmW1yo/edit?usp=sharing"",""กำแพงเพชร!J257"")"),0)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IFERROR(__xludf.DUMMYFUNCTION("IMPORTRANGE(""https://docs.google.com/spreadsheets/d/11923uPwbBZFjjGgGUA6NLw09EwE0CqkOc4q9oUmW1yo/edit?usp=sharing"",""กำแพงเพชร!J258"")"),0)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IFERROR(__xludf.DUMMYFUNCTION("IMPORTRANGE(""https://docs.google.com/spreadsheets/d/11923uPwbBZFjjGgGUA6NLw09EwE0CqkOc4q9oUmW1yo/edit?usp=sharing"",""กำแพงเพชร!J166"")"),0)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IFERROR(__xludf.DUMMYFUNCTION("IMPORTRANGE(""https://docs.google.com/spreadsheets/d/11923uPwbBZFjjGgGUA6NLw09EwE0CqkOc4q9oUmW1yo/edit?usp=sharing"",""กำแพงเพชร!J166"")"),0)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IFERROR(__xludf.DUMMYFUNCTION("IMPORTRANGE(""https://docs.google.com/spreadsheets/d/11923uPwbBZFjjGgGUA6NLw09EwE0CqkOc4q9oUmW1yo/edit?usp=sharing"",""กำแพงเพชร!J166"")"),0)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IFERROR(__xludf.DUMMYFUNCTION("IMPORTRANGE(""https://docs.google.com/spreadsheets/d/11923uPwbBZFjjGgGUA6NLw09EwE0CqkOc4q9oUmW1yo/edit?usp=sharing"",""กำแพงเพชร!J166"")"),0)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IFERROR(__xludf.DUMMYFUNCTION("IMPORTRANGE(""https://docs.google.com/spreadsheets/d/11923uPwbBZFjjGgGUA6NLw09EwE0CqkOc4q9oUmW1yo/edit?usp=sharing"",""กำแพงเพชร!I263"")"),0)</f>
        <v>0</v>
      </c>
      <c r="J368" s="187">
        <f ca="1">IFERROR(__xludf.DUMMYFUNCTION("IMPORTRANGE(""https://docs.google.com/spreadsheets/d/11923uPwbBZFjjGgGUA6NLw09EwE0CqkOc4q9oUmW1yo/edit?usp=sharing"",""กำแพงเพชร!J263"")"),0)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IFERROR(__xludf.DUMMYFUNCTION("IMPORTRANGE(""https://docs.google.com/spreadsheets/d/11923uPwbBZFjjGgGUA6NLw09EwE0CqkOc4q9oUmW1yo/edit?usp=sharing"",""กำแพงเพชร!I164"")"),0)</f>
        <v>0</v>
      </c>
      <c r="J369" s="203">
        <f ca="1">IFERROR(__xludf.DUMMYFUNCTION("IMPORTRANGE(""https://docs.google.com/spreadsheets/d/11923uPwbBZFjjGgGUA6NLw09EwE0CqkOc4q9oUmW1yo/edit?usp=sharing"",""กำแพงเพชร!J164"")"),0)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IFERROR(__xludf.DUMMYFUNCTION("IMPORTRANGE(""https://docs.google.com/spreadsheets/d/11923uPwbBZFjjGgGUA6NLw09EwE0CqkOc4q9oUmW1yo/edit?usp=sharing"",""กำแพงเพชร!I265"")"),0)</f>
        <v>0</v>
      </c>
      <c r="J370" s="203">
        <f ca="1">IFERROR(__xludf.DUMMYFUNCTION("IMPORTRANGE(""https://docs.google.com/spreadsheets/d/11923uPwbBZFjjGgGUA6NLw09EwE0CqkOc4q9oUmW1yo/edit?usp=sharing"",""กำแพงเพชร!J265"")"),0)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IFERROR(__xludf.DUMMYFUNCTION("IMPORTRANGE(""https://docs.google.com/spreadsheets/d/11923uPwbBZFjjGgGUA6NLw09EwE0CqkOc4q9oUmW1yo/edit?usp=sharing"",""กำแพงเพชร!I164"")"),0)</f>
        <v>0</v>
      </c>
      <c r="J371" s="188">
        <f ca="1">IFERROR(__xludf.DUMMYFUNCTION("IMPORTRANGE(""https://docs.google.com/spreadsheets/d/11923uPwbBZFjjGgGUA6NLw09EwE0CqkOc4q9oUmW1yo/edit?usp=sharing"",""กำแพงเพชร!J164"")"),0)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IFERROR(__xludf.DUMMYFUNCTION("IMPORTRANGE(""https://docs.google.com/spreadsheets/d/11923uPwbBZFjjGgGUA6NLw09EwE0CqkOc4q9oUmW1yo/edit?usp=sharing"",""กำแพงเพชร!I267"")"),0)</f>
        <v>0</v>
      </c>
      <c r="J372" s="188">
        <f ca="1">IFERROR(__xludf.DUMMYFUNCTION("IMPORTRANGE(""https://docs.google.com/spreadsheets/d/11923uPwbBZFjjGgGUA6NLw09EwE0CqkOc4q9oUmW1yo/edit?usp=sharing"",""กำแพงเพชร!J267"")"),0)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IFERROR(__xludf.DUMMYFUNCTION("IMPORTRANGE(""https://docs.google.com/spreadsheets/d/11923uPwbBZFjjGgGUA6NLw09EwE0CqkOc4q9oUmW1yo/edit?usp=sharing"",""กำแพงเพชร!I164"")"),0)</f>
        <v>0</v>
      </c>
      <c r="J373" s="203">
        <f ca="1">IFERROR(__xludf.DUMMYFUNCTION("IMPORTRANGE(""https://docs.google.com/spreadsheets/d/11923uPwbBZFjjGgGUA6NLw09EwE0CqkOc4q9oUmW1yo/edit?usp=sharing"",""กำแพงเพชร!J164"")"),0)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IFERROR(__xludf.DUMMYFUNCTION("IMPORTRANGE(""https://docs.google.com/spreadsheets/d/11923uPwbBZFjjGgGUA6NLw09EwE0CqkOc4q9oUmW1yo/edit?usp=sharing"",""กำแพงเพชร!I164"")"),0)</f>
        <v>0</v>
      </c>
      <c r="J374" s="187">
        <f ca="1">IFERROR(__xludf.DUMMYFUNCTION("IMPORTRANGE(""https://docs.google.com/spreadsheets/d/11923uPwbBZFjjGgGUA6NLw09EwE0CqkOc4q9oUmW1yo/edit?usp=sharing"",""กำแพงเพชร!J164"")"),0)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IFERROR(__xludf.DUMMYFUNCTION("IMPORTRANGE(""https://docs.google.com/spreadsheets/d/11923uPwbBZFjjGgGUA6NLw09EwE0CqkOc4q9oUmW1yo/edit?usp=sharing"",""กำแพงเพชร!I270"")"),0)</f>
        <v>0</v>
      </c>
      <c r="J375" s="187">
        <f ca="1">IFERROR(__xludf.DUMMYFUNCTION("IMPORTRANGE(""https://docs.google.com/spreadsheets/d/11923uPwbBZFjjGgGUA6NLw09EwE0CqkOc4q9oUmW1yo/edit?usp=sharing"",""กำแพงเพชร!J270"")"),0)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IFERROR(__xludf.DUMMYFUNCTION("IMPORTRANGE(""https://docs.google.com/spreadsheets/d/11923uPwbBZFjjGgGUA6NLw09EwE0CqkOc4q9oUmW1yo/edit?usp=sharing"",""กำแพงเพชร!I271"")"),0)</f>
        <v>0</v>
      </c>
      <c r="J376" s="188">
        <f ca="1">IFERROR(__xludf.DUMMYFUNCTION("IMPORTRANGE(""https://docs.google.com/spreadsheets/d/11923uPwbBZFjjGgGUA6NLw09EwE0CqkOc4q9oUmW1yo/edit?usp=sharing"",""กำแพงเพชร!J271"")"),0)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IFERROR(__xludf.DUMMYFUNCTION("IMPORTRANGE(""https://docs.google.com/spreadsheets/d/11923uPwbBZFjjGgGUA6NLw09EwE0CqkOc4q9oUmW1yo/edit?usp=sharing"",""กำแพงเพชร!I272"")"),0)</f>
        <v>0</v>
      </c>
      <c r="J377" s="203">
        <f ca="1">IFERROR(__xludf.DUMMYFUNCTION("IMPORTRANGE(""https://docs.google.com/spreadsheets/d/11923uPwbBZFjjGgGUA6NLw09EwE0CqkOc4q9oUmW1yo/edit?usp=sharing"",""กำแพงเพชร!J272"")"),0)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IFERROR(__xludf.DUMMYFUNCTION("IMPORTRANGE(""https://docs.google.com/spreadsheets/d/11923uPwbBZFjjGgGUA6NLw09EwE0CqkOc4q9oUmW1yo/edit?usp=sharing"",""กำแพงเพชร!J273"")"),0)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IFERROR(__xludf.DUMMYFUNCTION("IMPORTRANGE(""https://docs.google.com/spreadsheets/d/11923uPwbBZFjjGgGUA6NLw09EwE0CqkOc4q9oUmW1yo/edit?usp=sharing"",""กำแพงเพชร!J274"")"),0)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IFERROR(__xludf.DUMMYFUNCTION("IMPORTRANGE(""https://docs.google.com/spreadsheets/d/11923uPwbBZFjjGgGUA6NLw09EwE0CqkOc4q9oUmW1yo/edit?usp=sharing"",""กำแพงเพชร!I275"")"),1000)</f>
        <v>1000</v>
      </c>
      <c r="J380" s="370">
        <f ca="1">IFERROR(__xludf.DUMMYFUNCTION("IMPORTRANGE(""https://docs.google.com/spreadsheets/d/11923uPwbBZFjjGgGUA6NLw09EwE0CqkOc4q9oUmW1yo/edit?usp=sharing"",""กำแพงเพชร!J275"")"),0)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IFERROR(__xludf.DUMMYFUNCTION("IMPORTRANGE(""https://docs.google.com/spreadsheets/d/11923uPwbBZFjjGgGUA6NLw09EwE0CqkOc4q9oUmW1yo/edit?usp=sharing"",""กำแพงเพชร!L275"")"),1028520)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IFERROR(__xludf.DUMMYFUNCTION("IMPORTRANGE(""https://docs.google.com/spreadsheets/d/11923uPwbBZFjjGgGUA6NLw09EwE0CqkOc4q9oUmW1yo/edit?usp=sharing"",""กำแพงเพชร!M275"")"),252335)</f>
        <v>252335</v>
      </c>
      <c r="O380" s="372">
        <f ca="1">+IF(L380&gt;0,N380*100/L380,0)</f>
        <v>24.533796134251158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IFERROR(__xludf.DUMMYFUNCTION("IMPORTRANGE(""https://docs.google.com/spreadsheets/d/11923uPwbBZFjjGgGUA6NLw09EwE0CqkOc4q9oUmW1yo/edit?usp=sharing"",""กำแพงเพชร!I276"")"),100)</f>
        <v>100</v>
      </c>
      <c r="J381" s="370">
        <f ca="1">IFERROR(__xludf.DUMMYFUNCTION("IMPORTRANGE(""https://docs.google.com/spreadsheets/d/11923uPwbBZFjjGgGUA6NLw09EwE0CqkOc4q9oUmW1yo/edit?usp=sharing"",""กำแพงเพชร!J276"")"),100)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IFERROR(__xludf.DUMMYFUNCTION("IMPORTRANGE(""https://docs.google.com/spreadsheets/d/11923uPwbBZFjjGgGUA6NLw09EwE0CqkOc4q9oUmW1yo/edit?usp=sharing"",""กำแพงเพชร!L277"")"),0)</f>
        <v>0</v>
      </c>
      <c r="M382" s="164"/>
      <c r="N382" s="164">
        <f ca="1">IFERROR(__xludf.DUMMYFUNCTION("IMPORTRANGE(""https://docs.google.com/spreadsheets/d/11923uPwbBZFjjGgGUA6NLw09EwE0CqkOc4q9oUmW1yo/edit?usp=sharing"",""กำแพงเพชร!M277"")"),0)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IFERROR(__xludf.DUMMYFUNCTION("IMPORTRANGE(""https://docs.google.com/spreadsheets/d/11923uPwbBZFjjGgGUA6NLw09EwE0CqkOc4q9oUmW1yo/edit?usp=sharing"",""กำแพงเพชร!L278"")"),1028520)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IFERROR(__xludf.DUMMYFUNCTION("IMPORTRANGE(""https://docs.google.com/spreadsheets/d/11923uPwbBZFjjGgGUA6NLw09EwE0CqkOc4q9oUmW1yo/edit?usp=sharing"",""กำแพงเพชร!M278"")"),252335)</f>
        <v>252335</v>
      </c>
      <c r="O383" s="165">
        <f t="shared" ca="1" si="109"/>
        <v>24.533796134251158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IFERROR(__xludf.DUMMYFUNCTION("IMPORTRANGE(""https://docs.google.com/spreadsheets/d/11923uPwbBZFjjGgGUA6NLw09EwE0CqkOc4q9oUmW1yo/edit?usp=sharing"",""กำแพงเพชร!L279"")"),0)</f>
        <v>0</v>
      </c>
      <c r="M384" s="168"/>
      <c r="N384" s="168">
        <f ca="1">IFERROR(__xludf.DUMMYFUNCTION("IMPORTRANGE(""https://docs.google.com/spreadsheets/d/11923uPwbBZFjjGgGUA6NLw09EwE0CqkOc4q9oUmW1yo/edit?usp=sharing"",""กำแพงเพชร!M279"")"),0)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IFERROR(__xludf.DUMMYFUNCTION("IMPORTRANGE(""https://docs.google.com/spreadsheets/d/11923uPwbBZFjjGgGUA6NLw09EwE0CqkOc4q9oUmW1yo/edit?usp=sharing"",""กำแพงเพชร!L280"")"),1028520)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IFERROR(__xludf.DUMMYFUNCTION("IMPORTRANGE(""https://docs.google.com/spreadsheets/d/11923uPwbBZFjjGgGUA6NLw09EwE0CqkOc4q9oUmW1yo/edit?usp=sharing"",""กำแพงเพชร!M280"")"),252335)</f>
        <v>252335</v>
      </c>
      <c r="O385" s="168">
        <f t="shared" ca="1" si="109"/>
        <v>24.533796134251158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IFERROR(__xludf.DUMMYFUNCTION("IMPORTRANGE(""https://docs.google.com/spreadsheets/d/11923uPwbBZFjjGgGUA6NLw09EwE0CqkOc4q9oUmW1yo/edit?usp=sharing"",""กำแพงเพชร!M281"")"),183682)</f>
        <v>183682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IFERROR(__xludf.DUMMYFUNCTION("IMPORTRANGE(""https://docs.google.com/spreadsheets/d/11923uPwbBZFjjGgGUA6NLw09EwE0CqkOc4q9oUmW1yo/edit?usp=sharing"",""กำแพงเพชร!M282"")"),0)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IFERROR(__xludf.DUMMYFUNCTION("IMPORTRANGE(""https://docs.google.com/spreadsheets/d/11923uPwbBZFjjGgGUA6NLw09EwE0CqkOc4q9oUmW1yo/edit?usp=sharing"",""กำแพงเพชร!M283"")"),62413)</f>
        <v>62413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IFERROR(__xludf.DUMMYFUNCTION("IMPORTRANGE(""https://docs.google.com/spreadsheets/d/11923uPwbBZFjjGgGUA6NLw09EwE0CqkOc4q9oUmW1yo/edit?usp=sharing"",""กำแพงเพชร!M284"")"),6240)</f>
        <v>6240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IFERROR(__xludf.DUMMYFUNCTION("IMPORTRANGE(""https://docs.google.com/spreadsheets/d/11923uPwbBZFjjGgGUA6NLw09EwE0CqkOc4q9oUmW1yo/edit?usp=sharing"",""กำแพงเพชร!J286"")"),0)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IFERROR(__xludf.DUMMYFUNCTION("IMPORTRANGE(""https://docs.google.com/spreadsheets/d/11923uPwbBZFjjGgGUA6NLw09EwE0CqkOc4q9oUmW1yo/edit?usp=sharing"",""กำแพงเพชร!J287"")"),1)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IFERROR(__xludf.DUMMYFUNCTION("IMPORTRANGE(""https://docs.google.com/spreadsheets/d/11923uPwbBZFjjGgGUA6NLw09EwE0CqkOc4q9oUmW1yo/edit?usp=sharing"",""กำแพงเพชร!J288"")"),1)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IFERROR(__xludf.DUMMYFUNCTION("IMPORTRANGE(""https://docs.google.com/spreadsheets/d/11923uPwbBZFjjGgGUA6NLw09EwE0CqkOc4q9oUmW1yo/edit?usp=sharing"",""กำแพงเพชร!J289"")"),1)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IFERROR(__xludf.DUMMYFUNCTION("IMPORTRANGE(""https://docs.google.com/spreadsheets/d/11923uPwbBZFjjGgGUA6NLw09EwE0CqkOc4q9oUmW1yo/edit?usp=sharing"",""กำแพงเพชร!I291"")"),100)</f>
        <v>100</v>
      </c>
      <c r="J396" s="197">
        <f ca="1">IFERROR(__xludf.DUMMYFUNCTION("IMPORTRANGE(""https://docs.google.com/spreadsheets/d/11923uPwbBZFjjGgGUA6NLw09EwE0CqkOc4q9oUmW1yo/edit?usp=sharing"",""กำแพงเพชร!J291"")"),100)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IFERROR(__xludf.DUMMYFUNCTION("IMPORTRANGE(""https://docs.google.com/spreadsheets/d/11923uPwbBZFjjGgGUA6NLw09EwE0CqkOc4q9oUmW1yo/edit?usp=sharing"",""กำแพงเพชร!I292"")"),1000)</f>
        <v>1000</v>
      </c>
      <c r="J397" s="197">
        <f ca="1">IFERROR(__xludf.DUMMYFUNCTION("IMPORTRANGE(""https://docs.google.com/spreadsheets/d/11923uPwbBZFjjGgGUA6NLw09EwE0CqkOc4q9oUmW1yo/edit?usp=sharing"",""กำแพงเพชร!J292"")"),0)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IFERROR(__xludf.DUMMYFUNCTION("IMPORTRANGE(""https://docs.google.com/spreadsheets/d/11923uPwbBZFjjGgGUA6NLw09EwE0CqkOc4q9oUmW1yo/edit?usp=sharing"",""กำแพงเพชร!I293"")"),100)</f>
        <v>100</v>
      </c>
      <c r="J398" s="197">
        <f ca="1">IFERROR(__xludf.DUMMYFUNCTION("IMPORTRANGE(""https://docs.google.com/spreadsheets/d/11923uPwbBZFjjGgGUA6NLw09EwE0CqkOc4q9oUmW1yo/edit?usp=sharing"",""กำแพงเพชร!J293"")"),0)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IFERROR(__xludf.DUMMYFUNCTION("IMPORTRANGE(""https://docs.google.com/spreadsheets/d/11923uPwbBZFjjGgGUA6NLw09EwE0CqkOc4q9oUmW1yo/edit?usp=sharing"",""กำแพงเพชร!J294"")"),0)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IFERROR(__xludf.DUMMYFUNCTION("IMPORTRANGE(""https://docs.google.com/spreadsheets/d/11923uPwbBZFjjGgGUA6NLw09EwE0CqkOc4q9oUmW1yo/edit?usp=sharing"",""กำแพงเพชร!J295"")"),0)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IFERROR(__xludf.DUMMYFUNCTION("IMPORTRANGE(""https://docs.google.com/spreadsheets/d/11923uPwbBZFjjGgGUA6NLw09EwE0CqkOc4q9oUmW1yo/edit?usp=sharing"",""กำแพงเพชร!I296"")"),135)</f>
        <v>135</v>
      </c>
      <c r="J401" s="370">
        <f ca="1">IFERROR(__xludf.DUMMYFUNCTION("IMPORTRANGE(""https://docs.google.com/spreadsheets/d/11923uPwbBZFjjGgGUA6NLw09EwE0CqkOc4q9oUmW1yo/edit?usp=sharing"",""กำแพงเพชร!J296"")"),105)</f>
        <v>105</v>
      </c>
      <c r="K401" s="371">
        <f t="shared" ref="K401:K402" ca="1" si="111">IF(I401&gt;0,J401*100/I401,0)</f>
        <v>77.777777777777771</v>
      </c>
      <c r="L401" s="372">
        <f ca="1">IFERROR(__xludf.DUMMYFUNCTION("IMPORTRANGE(""https://docs.google.com/spreadsheets/d/11923uPwbBZFjjGgGUA6NLw09EwE0CqkOc4q9oUmW1yo/edit?usp=sharing"",""กำแพงเพชร!L296"")"),159950)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IFERROR(__xludf.DUMMYFUNCTION("IMPORTRANGE(""https://docs.google.com/spreadsheets/d/11923uPwbBZFjjGgGUA6NLw09EwE0CqkOc4q9oUmW1yo/edit?usp=sharing"",""กำแพงเพชร!M296"")"),121123)</f>
        <v>121123</v>
      </c>
      <c r="O401" s="372">
        <f ca="1">+IF(L401&gt;0,N401*100/L401,0)</f>
        <v>75.725539231009691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IFERROR(__xludf.DUMMYFUNCTION("IMPORTRANGE(""https://docs.google.com/spreadsheets/d/11923uPwbBZFjjGgGUA6NLw09EwE0CqkOc4q9oUmW1yo/edit?usp=sharing"",""กำแพงเพชร!I297"")"),45)</f>
        <v>45</v>
      </c>
      <c r="J402" s="370">
        <f ca="1">IFERROR(__xludf.DUMMYFUNCTION("IMPORTRANGE(""https://docs.google.com/spreadsheets/d/11923uPwbBZFjjGgGUA6NLw09EwE0CqkOc4q9oUmW1yo/edit?usp=sharing"",""กำแพงเพชร!J297"")"),35)</f>
        <v>35</v>
      </c>
      <c r="K402" s="371">
        <f t="shared" ca="1" si="111"/>
        <v>77.777777777777771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IFERROR(__xludf.DUMMYFUNCTION("IMPORTRANGE(""https://docs.google.com/spreadsheets/d/11923uPwbBZFjjGgGUA6NLw09EwE0CqkOc4q9oUmW1yo/edit?usp=sharing"",""กำแพงเพชร!L298"")"),0)</f>
        <v>0</v>
      </c>
      <c r="M403" s="164"/>
      <c r="N403" s="168">
        <f ca="1">IFERROR(__xludf.DUMMYFUNCTION("IMPORTRANGE(""https://docs.google.com/spreadsheets/d/11923uPwbBZFjjGgGUA6NLw09EwE0CqkOc4q9oUmW1yo/edit?usp=sharing"",""กำแพงเพชร!M298"")"),0)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IFERROR(__xludf.DUMMYFUNCTION("IMPORTRANGE(""https://docs.google.com/spreadsheets/d/11923uPwbBZFjjGgGUA6NLw09EwE0CqkOc4q9oUmW1yo/edit?usp=sharing"",""กำแพงเพชร!L299"")"),159950)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IFERROR(__xludf.DUMMYFUNCTION("IMPORTRANGE(""https://docs.google.com/spreadsheets/d/11923uPwbBZFjjGgGUA6NLw09EwE0CqkOc4q9oUmW1yo/edit?usp=sharing"",""กำแพงเพชร!M299"")"),121123)</f>
        <v>121123</v>
      </c>
      <c r="O404" s="168">
        <f t="shared" ca="1" si="112"/>
        <v>75.725539231009691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IFERROR(__xludf.DUMMYFUNCTION("IMPORTRANGE(""https://docs.google.com/spreadsheets/d/11923uPwbBZFjjGgGUA6NLw09EwE0CqkOc4q9oUmW1yo/edit?usp=sharing"",""กำแพงเพชร!L300"")"),0)</f>
        <v>0</v>
      </c>
      <c r="M405" s="168"/>
      <c r="N405" s="168">
        <f ca="1">IFERROR(__xludf.DUMMYFUNCTION("IMPORTRANGE(""https://docs.google.com/spreadsheets/d/11923uPwbBZFjjGgGUA6NLw09EwE0CqkOc4q9oUmW1yo/edit?usp=sharing"",""กำแพงเพชร!M300"")"),0)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IFERROR(__xludf.DUMMYFUNCTION("IMPORTRANGE(""https://docs.google.com/spreadsheets/d/11923uPwbBZFjjGgGUA6NLw09EwE0CqkOc4q9oUmW1yo/edit?usp=sharing"",""กำแพงเพชร!L301"")"),159950)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IFERROR(__xludf.DUMMYFUNCTION("IMPORTRANGE(""https://docs.google.com/spreadsheets/d/11923uPwbBZFjjGgGUA6NLw09EwE0CqkOc4q9oUmW1yo/edit?usp=sharing"",""กำแพงเพชร!M301"")"),121123)</f>
        <v>121123</v>
      </c>
      <c r="O406" s="168">
        <f t="shared" ca="1" si="112"/>
        <v>75.725539231009691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IFERROR(__xludf.DUMMYFUNCTION("IMPORTRANGE(""https://docs.google.com/spreadsheets/d/11923uPwbBZFjjGgGUA6NLw09EwE0CqkOc4q9oUmW1yo/edit?usp=sharing"",""กำแพงเพชร!M302"")"),66573)</f>
        <v>66573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IFERROR(__xludf.DUMMYFUNCTION("IMPORTRANGE(""https://docs.google.com/spreadsheets/d/11923uPwbBZFjjGgGUA6NLw09EwE0CqkOc4q9oUmW1yo/edit?usp=sharing"",""กำแพงเพชร!M303"")"),32500)</f>
        <v>32500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IFERROR(__xludf.DUMMYFUNCTION("IMPORTRANGE(""https://docs.google.com/spreadsheets/d/11923uPwbBZFjjGgGUA6NLw09EwE0CqkOc4q9oUmW1yo/edit?usp=sharing"",""กำแพงเพชร!M304"")"),0)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IFERROR(__xludf.DUMMYFUNCTION("IMPORTRANGE(""https://docs.google.com/spreadsheets/d/11923uPwbBZFjjGgGUA6NLw09EwE0CqkOc4q9oUmW1yo/edit?usp=sharing"",""กำแพงเพชร!M305"")"),22050)</f>
        <v>22050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IFERROR(__xludf.DUMMYFUNCTION("IMPORTRANGE(""https://docs.google.com/spreadsheets/d/11923uPwbBZFjjGgGUA6NLw09EwE0CqkOc4q9oUmW1yo/edit?usp=sharing"",""กำแพงเพชร!J307"")"),0)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IFERROR(__xludf.DUMMYFUNCTION("IMPORTRANGE(""https://docs.google.com/spreadsheets/d/11923uPwbBZFjjGgGUA6NLw09EwE0CqkOc4q9oUmW1yo/edit?usp=sharing"",""กำแพงเพชร!J308"")"),1)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IFERROR(__xludf.DUMMYFUNCTION("IMPORTRANGE(""https://docs.google.com/spreadsheets/d/11923uPwbBZFjjGgGUA6NLw09EwE0CqkOc4q9oUmW1yo/edit?usp=sharing"",""กำแพงเพชร!J309"")"),1)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IFERROR(__xludf.DUMMYFUNCTION("IMPORTRANGE(""https://docs.google.com/spreadsheets/d/11923uPwbBZFjjGgGUA6NLw09EwE0CqkOc4q9oUmW1yo/edit?usp=sharing"",""กำแพงเพชร!J310"")"),1)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IFERROR(__xludf.DUMMYFUNCTION("IMPORTRANGE(""https://docs.google.com/spreadsheets/d/11923uPwbBZFjjGgGUA6NLw09EwE0CqkOc4q9oUmW1yo/edit?usp=sharing"",""กำแพงเพชร!I311"")"),45)</f>
        <v>45</v>
      </c>
      <c r="J416" s="200">
        <f ca="1">IFERROR(__xludf.DUMMYFUNCTION("IMPORTRANGE(""https://docs.google.com/spreadsheets/d/11923uPwbBZFjjGgGUA6NLw09EwE0CqkOc4q9oUmW1yo/edit?usp=sharing"",""กำแพงเพชร!J311"")"),35)</f>
        <v>35</v>
      </c>
      <c r="K416" s="201">
        <f t="shared" ref="K416:K432" ca="1" si="113">IF(I416&gt;0,J416*100/I416,0)</f>
        <v>77.777777777777771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IFERROR(__xludf.DUMMYFUNCTION("IMPORTRANGE(""https://docs.google.com/spreadsheets/d/11923uPwbBZFjjGgGUA6NLw09EwE0CqkOc4q9oUmW1yo/edit?usp=sharing"",""กำแพงเพชร!I312"")"),10)</f>
        <v>10</v>
      </c>
      <c r="J417" s="391">
        <f ca="1">IFERROR(__xludf.DUMMYFUNCTION("IMPORTRANGE(""https://docs.google.com/spreadsheets/d/11923uPwbBZFjjGgGUA6NLw09EwE0CqkOc4q9oUmW1yo/edit?usp=sharing"",""กำแพงเพชร!J312"")"),10)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IFERROR(__xludf.DUMMYFUNCTION("IMPORTRANGE(""https://docs.google.com/spreadsheets/d/11923uPwbBZFjjGgGUA6NLw09EwE0CqkOc4q9oUmW1yo/edit?usp=sharing"",""กำแพงเพชร!I313"")"),30)</f>
        <v>30</v>
      </c>
      <c r="J418" s="392">
        <f ca="1">IFERROR(__xludf.DUMMYFUNCTION("IMPORTRANGE(""https://docs.google.com/spreadsheets/d/11923uPwbBZFjjGgGUA6NLw09EwE0CqkOc4q9oUmW1yo/edit?usp=sharing"",""กำแพงเพชร!J313"")"),30)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IFERROR(__xludf.DUMMYFUNCTION("IMPORTRANGE(""https://docs.google.com/spreadsheets/d/11923uPwbBZFjjGgGUA6NLw09EwE0CqkOc4q9oUmW1yo/edit?usp=sharing"",""กำแพงเพชร!I314"")"),10)</f>
        <v>10</v>
      </c>
      <c r="J419" s="393">
        <f ca="1">IFERROR(__xludf.DUMMYFUNCTION("IMPORTRANGE(""https://docs.google.com/spreadsheets/d/11923uPwbBZFjjGgGUA6NLw09EwE0CqkOc4q9oUmW1yo/edit?usp=sharing"",""กำแพงเพชร!J314"")"),10)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IFERROR(__xludf.DUMMYFUNCTION("IMPORTRANGE(""https://docs.google.com/spreadsheets/d/11923uPwbBZFjjGgGUA6NLw09EwE0CqkOc4q9oUmW1yo/edit?usp=sharing"",""กำแพงเพชร!I315"")"),10)</f>
        <v>10</v>
      </c>
      <c r="J420" s="393">
        <f ca="1">IFERROR(__xludf.DUMMYFUNCTION("IMPORTRANGE(""https://docs.google.com/spreadsheets/d/11923uPwbBZFjjGgGUA6NLw09EwE0CqkOc4q9oUmW1yo/edit?usp=sharing"",""กำแพงเพชร!J315"")"),10)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IFERROR(__xludf.DUMMYFUNCTION("IMPORTRANGE(""https://docs.google.com/spreadsheets/d/11923uPwbBZFjjGgGUA6NLw09EwE0CqkOc4q9oUmW1yo/edit?usp=sharing"",""กำแพงเพชร!I316"")"),25)</f>
        <v>25</v>
      </c>
      <c r="J421" s="391">
        <f ca="1">IFERROR(__xludf.DUMMYFUNCTION("IMPORTRANGE(""https://docs.google.com/spreadsheets/d/11923uPwbBZFjjGgGUA6NLw09EwE0CqkOc4q9oUmW1yo/edit?usp=sharing"",""กำแพงเพชร!J316"")"),25)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IFERROR(__xludf.DUMMYFUNCTION("IMPORTRANGE(""https://docs.google.com/spreadsheets/d/11923uPwbBZFjjGgGUA6NLw09EwE0CqkOc4q9oUmW1yo/edit?usp=sharing"",""กำแพงเพชร!I317"")"),75)</f>
        <v>75</v>
      </c>
      <c r="J422" s="392">
        <f ca="1">IFERROR(__xludf.DUMMYFUNCTION("IMPORTRANGE(""https://docs.google.com/spreadsheets/d/11923uPwbBZFjjGgGUA6NLw09EwE0CqkOc4q9oUmW1yo/edit?usp=sharing"",""กำแพงเพชร!J317"")"),75)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IFERROR(__xludf.DUMMYFUNCTION("IMPORTRANGE(""https://docs.google.com/spreadsheets/d/11923uPwbBZFjjGgGUA6NLw09EwE0CqkOc4q9oUmW1yo/edit?usp=sharing"",""กำแพงเพชร!I318"")"),25)</f>
        <v>25</v>
      </c>
      <c r="J423" s="393">
        <f ca="1">IFERROR(__xludf.DUMMYFUNCTION("IMPORTRANGE(""https://docs.google.com/spreadsheets/d/11923uPwbBZFjjGgGUA6NLw09EwE0CqkOc4q9oUmW1yo/edit?usp=sharing"",""กำแพงเพชร!J318"")"),25)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IFERROR(__xludf.DUMMYFUNCTION("IMPORTRANGE(""https://docs.google.com/spreadsheets/d/11923uPwbBZFjjGgGUA6NLw09EwE0CqkOc4q9oUmW1yo/edit?usp=sharing"",""กำแพงเพชร!I319"")"),25)</f>
        <v>25</v>
      </c>
      <c r="J424" s="393">
        <f ca="1">IFERROR(__xludf.DUMMYFUNCTION("IMPORTRANGE(""https://docs.google.com/spreadsheets/d/11923uPwbBZFjjGgGUA6NLw09EwE0CqkOc4q9oUmW1yo/edit?usp=sharing"",""กำแพงเพชร!J319"")"),25)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IFERROR(__xludf.DUMMYFUNCTION("IMPORTRANGE(""https://docs.google.com/spreadsheets/d/11923uPwbBZFjjGgGUA6NLw09EwE0CqkOc4q9oUmW1yo/edit?usp=sharing"",""กำแพงเพชร!I320"")"),25)</f>
        <v>25</v>
      </c>
      <c r="J425" s="393">
        <f ca="1">IFERROR(__xludf.DUMMYFUNCTION("IMPORTRANGE(""https://docs.google.com/spreadsheets/d/11923uPwbBZFjjGgGUA6NLw09EwE0CqkOc4q9oUmW1yo/edit?usp=sharing"",""กำแพงเพชร!J320"")"),25)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IFERROR(__xludf.DUMMYFUNCTION("IMPORTRANGE(""https://docs.google.com/spreadsheets/d/11923uPwbBZFjjGgGUA6NLw09EwE0CqkOc4q9oUmW1yo/edit?usp=sharing"",""กำแพงเพชร!I321"")"),10)</f>
        <v>10</v>
      </c>
      <c r="J426" s="391">
        <f ca="1">IFERROR(__xludf.DUMMYFUNCTION("IMPORTRANGE(""https://docs.google.com/spreadsheets/d/11923uPwbBZFjjGgGUA6NLw09EwE0CqkOc4q9oUmW1yo/edit?usp=sharing"",""กำแพงเพชร!J321"")"),0)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IFERROR(__xludf.DUMMYFUNCTION("IMPORTRANGE(""https://docs.google.com/spreadsheets/d/11923uPwbBZFjjGgGUA6NLw09EwE0CqkOc4q9oUmW1yo/edit?usp=sharing"",""กำแพงเพชร!I322"")"),30)</f>
        <v>30</v>
      </c>
      <c r="J427" s="392">
        <f ca="1">IFERROR(__xludf.DUMMYFUNCTION("IMPORTRANGE(""https://docs.google.com/spreadsheets/d/11923uPwbBZFjjGgGUA6NLw09EwE0CqkOc4q9oUmW1yo/edit?usp=sharing"",""กำแพงเพชร!J322"")"),0)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IFERROR(__xludf.DUMMYFUNCTION("IMPORTRANGE(""https://docs.google.com/spreadsheets/d/11923uPwbBZFjjGgGUA6NLw09EwE0CqkOc4q9oUmW1yo/edit?usp=sharing"",""กำแพงเพชร!I323"")"),10)</f>
        <v>10</v>
      </c>
      <c r="J428" s="393">
        <f ca="1">IFERROR(__xludf.DUMMYFUNCTION("IMPORTRANGE(""https://docs.google.com/spreadsheets/d/11923uPwbBZFjjGgGUA6NLw09EwE0CqkOc4q9oUmW1yo/edit?usp=sharing"",""กำแพงเพชร!J323"")"),0)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IFERROR(__xludf.DUMMYFUNCTION("IMPORTRANGE(""https://docs.google.com/spreadsheets/d/11923uPwbBZFjjGgGUA6NLw09EwE0CqkOc4q9oUmW1yo/edit?usp=sharing"",""กำแพงเพชร!I324"")"),10)</f>
        <v>10</v>
      </c>
      <c r="J429" s="393">
        <f ca="1">IFERROR(__xludf.DUMMYFUNCTION("IMPORTRANGE(""https://docs.google.com/spreadsheets/d/11923uPwbBZFjjGgGUA6NLw09EwE0CqkOc4q9oUmW1yo/edit?usp=sharing"",""กำแพงเพชร!J324"")"),0)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IFERROR(__xludf.DUMMYFUNCTION("IMPORTRANGE(""https://docs.google.com/spreadsheets/d/11923uPwbBZFjjGgGUA6NLw09EwE0CqkOc4q9oUmW1yo/edit?usp=sharing"",""กำแพงเพชร!I325"")"),35)</f>
        <v>35</v>
      </c>
      <c r="J430" s="391">
        <f ca="1">IFERROR(__xludf.DUMMYFUNCTION("IMPORTRANGE(""https://docs.google.com/spreadsheets/d/11923uPwbBZFjjGgGUA6NLw09EwE0CqkOc4q9oUmW1yo/edit?usp=sharing"",""กำแพงเพชร!J325"")"),25)</f>
        <v>25</v>
      </c>
      <c r="K430" s="201">
        <f t="shared" ca="1" si="113"/>
        <v>71.428571428571431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IFERROR(__xludf.DUMMYFUNCTION("IMPORTRANGE(""https://docs.google.com/spreadsheets/d/11923uPwbBZFjjGgGUA6NLw09EwE0CqkOc4q9oUmW1yo/edit?usp=sharing"",""กำแพงเพชร!I326"")"),10)</f>
        <v>10</v>
      </c>
      <c r="J431" s="393">
        <f ca="1">IFERROR(__xludf.DUMMYFUNCTION("IMPORTRANGE(""https://docs.google.com/spreadsheets/d/11923uPwbBZFjjGgGUA6NLw09EwE0CqkOc4q9oUmW1yo/edit?usp=sharing"",""กำแพงเพชร!J326"")"),0)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IFERROR(__xludf.DUMMYFUNCTION("IMPORTRANGE(""https://docs.google.com/spreadsheets/d/11923uPwbBZFjjGgGUA6NLw09EwE0CqkOc4q9oUmW1yo/edit?usp=sharing"",""กำแพงเพชร!I327"")"),25)</f>
        <v>25</v>
      </c>
      <c r="J432" s="393">
        <f ca="1">IFERROR(__xludf.DUMMYFUNCTION("IMPORTRANGE(""https://docs.google.com/spreadsheets/d/11923uPwbBZFjjGgGUA6NLw09EwE0CqkOc4q9oUmW1yo/edit?usp=sharing"",""กำแพงเพชร!J327"")"),25)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IFERROR(__xludf.DUMMYFUNCTION("IMPORTRANGE(""https://docs.google.com/spreadsheets/d/11923uPwbBZFjjGgGUA6NLw09EwE0CqkOc4q9oUmW1yo/edit?usp=sharing"",""กำแพงเพชร!J328"")"),0)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IFERROR(__xludf.DUMMYFUNCTION("IMPORTRANGE(""https://docs.google.com/spreadsheets/d/11923uPwbBZFjjGgGUA6NLw09EwE0CqkOc4q9oUmW1yo/edit?usp=sharing"",""กำแพงเพชร!J329"")"),0)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IFERROR(__xludf.DUMMYFUNCTION("IMPORTRANGE(""https://docs.google.com/spreadsheets/d/11923uPwbBZFjjGgGUA6NLw09EwE0CqkOc4q9oUmW1yo/edit?usp=sharing"",""กำแพงเพชร!I330"")"),40)</f>
        <v>40</v>
      </c>
      <c r="J435" s="409">
        <f ca="1">IFERROR(__xludf.DUMMYFUNCTION("IMPORTRANGE(""https://docs.google.com/spreadsheets/d/11923uPwbBZFjjGgGUA6NLw09EwE0CqkOc4q9oUmW1yo/edit?usp=sharing"",""กำแพงเพชร!J330"")"),40)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IFERROR(__xludf.DUMMYFUNCTION("IMPORTRANGE(""https://docs.google.com/spreadsheets/d/11923uPwbBZFjjGgGUA6NLw09EwE0CqkOc4q9oUmW1yo/edit?usp=sharing"",""กำแพงเพชร!L330"")"),139600)</f>
        <v>139600</v>
      </c>
      <c r="M435" s="411"/>
      <c r="N435" s="411">
        <f ca="1">IFERROR(__xludf.DUMMYFUNCTION("IMPORTRANGE(""https://docs.google.com/spreadsheets/d/11923uPwbBZFjjGgGUA6NLw09EwE0CqkOc4q9oUmW1yo/edit?usp=sharing"",""กำแพงเพชร!M330"")"),103889)</f>
        <v>103889</v>
      </c>
      <c r="O435" s="411">
        <f t="shared" ref="O435:O439" ca="1" si="114">+IF(L435&gt;0,N435*100/L435,0)</f>
        <v>74.419054441260741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IFERROR(__xludf.DUMMYFUNCTION("IMPORTRANGE(""https://docs.google.com/spreadsheets/d/11923uPwbBZFjjGgGUA6NLw09EwE0CqkOc4q9oUmW1yo/edit?usp=sharing"",""กำแพงเพชร!L331"")"),0)</f>
        <v>0</v>
      </c>
      <c r="M436" s="164"/>
      <c r="N436" s="168">
        <f ca="1">IFERROR(__xludf.DUMMYFUNCTION("IMPORTRANGE(""https://docs.google.com/spreadsheets/d/11923uPwbBZFjjGgGUA6NLw09EwE0CqkOc4q9oUmW1yo/edit?usp=sharing"",""กำแพงเพชร!M331"")"),0)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IFERROR(__xludf.DUMMYFUNCTION("IMPORTRANGE(""https://docs.google.com/spreadsheets/d/11923uPwbBZFjjGgGUA6NLw09EwE0CqkOc4q9oUmW1yo/edit?usp=sharing"",""กำแพงเพชร!L332"")"),139600)</f>
        <v>139600</v>
      </c>
      <c r="M437" s="165"/>
      <c r="N437" s="168">
        <f ca="1">IFERROR(__xludf.DUMMYFUNCTION("IMPORTRANGE(""https://docs.google.com/spreadsheets/d/11923uPwbBZFjjGgGUA6NLw09EwE0CqkOc4q9oUmW1yo/edit?usp=sharing"",""กำแพงเพชร!M332"")"),103889)</f>
        <v>103889</v>
      </c>
      <c r="O437" s="168">
        <f t="shared" ca="1" si="114"/>
        <v>74.419054441260741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IFERROR(__xludf.DUMMYFUNCTION("IMPORTRANGE(""https://docs.google.com/spreadsheets/d/11923uPwbBZFjjGgGUA6NLw09EwE0CqkOc4q9oUmW1yo/edit?usp=sharing"",""กำแพงเพชร!L333"")"),0)</f>
        <v>0</v>
      </c>
      <c r="M438" s="168"/>
      <c r="N438" s="168">
        <f ca="1">IFERROR(__xludf.DUMMYFUNCTION("IMPORTRANGE(""https://docs.google.com/spreadsheets/d/11923uPwbBZFjjGgGUA6NLw09EwE0CqkOc4q9oUmW1yo/edit?usp=sharing"",""กำแพงเพชร!M333"")"),0)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IFERROR(__xludf.DUMMYFUNCTION("IMPORTRANGE(""https://docs.google.com/spreadsheets/d/11923uPwbBZFjjGgGUA6NLw09EwE0CqkOc4q9oUmW1yo/edit?usp=sharing"",""กำแพงเพชร!L334"")"),139600)</f>
        <v>139600</v>
      </c>
      <c r="M439" s="168"/>
      <c r="N439" s="168">
        <f ca="1">IFERROR(__xludf.DUMMYFUNCTION("IMPORTRANGE(""https://docs.google.com/spreadsheets/d/11923uPwbBZFjjGgGUA6NLw09EwE0CqkOc4q9oUmW1yo/edit?usp=sharing"",""กำแพงเพชร!M334"")"),103889)</f>
        <v>103889</v>
      </c>
      <c r="O439" s="168">
        <f t="shared" ca="1" si="114"/>
        <v>74.419054441260741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IFERROR(__xludf.DUMMYFUNCTION("IMPORTRANGE(""https://docs.google.com/spreadsheets/d/11923uPwbBZFjjGgGUA6NLw09EwE0CqkOc4q9oUmW1yo/edit?usp=sharing"",""กำแพงเพชร!M335"")"),88359)</f>
        <v>88359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IFERROR(__xludf.DUMMYFUNCTION("IMPORTRANGE(""https://docs.google.com/spreadsheets/d/11923uPwbBZFjjGgGUA6NLw09EwE0CqkOc4q9oUmW1yo/edit?usp=sharing"",""กำแพงเพชร!M336"")"),0)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IFERROR(__xludf.DUMMYFUNCTION("IMPORTRANGE(""https://docs.google.com/spreadsheets/d/11923uPwbBZFjjGgGUA6NLw09EwE0CqkOc4q9oUmW1yo/edit?usp=sharing"",""กำแพงเพชร!M337"")"),0)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IFERROR(__xludf.DUMMYFUNCTION("IMPORTRANGE(""https://docs.google.com/spreadsheets/d/11923uPwbBZFjjGgGUA6NLw09EwE0CqkOc4q9oUmW1yo/edit?usp=sharing"",""กำแพงเพชร!M338"")"),15530)</f>
        <v>15530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IFERROR(__xludf.DUMMYFUNCTION("IMPORTRANGE(""https://docs.google.com/spreadsheets/d/11923uPwbBZFjjGgGUA6NLw09EwE0CqkOc4q9oUmW1yo/edit?usp=sharing"",""กำแพงเพชร!J340"")"),0)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IFERROR(__xludf.DUMMYFUNCTION("IMPORTRANGE(""https://docs.google.com/spreadsheets/d/11923uPwbBZFjjGgGUA6NLw09EwE0CqkOc4q9oUmW1yo/edit?usp=sharing"",""กำแพงเพชร!J341"")"),1)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IFERROR(__xludf.DUMMYFUNCTION("IMPORTRANGE(""https://docs.google.com/spreadsheets/d/11923uPwbBZFjjGgGUA6NLw09EwE0CqkOc4q9oUmW1yo/edit?usp=sharing"",""กำแพงเพชร!J342"")"),1)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IFERROR(__xludf.DUMMYFUNCTION("IMPORTRANGE(""https://docs.google.com/spreadsheets/d/11923uPwbBZFjjGgGUA6NLw09EwE0CqkOc4q9oUmW1yo/edit?usp=sharing"",""กำแพงเพชร!J343"")"),1)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IFERROR(__xludf.DUMMYFUNCTION("IMPORTRANGE(""https://docs.google.com/spreadsheets/d/11923uPwbBZFjjGgGUA6NLw09EwE0CqkOc4q9oUmW1yo/edit?usp=sharing"",""กำแพงเพชร!I344"")"),40)</f>
        <v>40</v>
      </c>
      <c r="J449" s="200">
        <f ca="1">IFERROR(__xludf.DUMMYFUNCTION("IMPORTRANGE(""https://docs.google.com/spreadsheets/d/11923uPwbBZFjjGgGUA6NLw09EwE0CqkOc4q9oUmW1yo/edit?usp=sharing"",""กำแพงเพชร!J344"")"),40)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IFERROR(__xludf.DUMMYFUNCTION("IMPORTRANGE(""https://docs.google.com/spreadsheets/d/11923uPwbBZFjjGgGUA6NLw09EwE0CqkOc4q9oUmW1yo/edit?usp=sharing"",""กำแพงเพชร!I345"")"),20)</f>
        <v>20</v>
      </c>
      <c r="J450" s="188">
        <f ca="1">IFERROR(__xludf.DUMMYFUNCTION("IMPORTRANGE(""https://docs.google.com/spreadsheets/d/11923uPwbBZFjjGgGUA6NLw09EwE0CqkOc4q9oUmW1yo/edit?usp=sharing"",""กำแพงเพชร!J345"")"),20)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IFERROR(__xludf.DUMMYFUNCTION("IMPORTRANGE(""https://docs.google.com/spreadsheets/d/11923uPwbBZFjjGgGUA6NLw09EwE0CqkOc4q9oUmW1yo/edit?usp=sharing"",""กำแพงเพชร!I346"")"),20)</f>
        <v>20</v>
      </c>
      <c r="J451" s="187">
        <f ca="1">IFERROR(__xludf.DUMMYFUNCTION("IMPORTRANGE(""https://docs.google.com/spreadsheets/d/11923uPwbBZFjjGgGUA6NLw09EwE0CqkOc4q9oUmW1yo/edit?usp=sharing"",""กำแพงเพชร!J346"")"),20)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IFERROR(__xludf.DUMMYFUNCTION("IMPORTRANGE(""https://docs.google.com/spreadsheets/d/11923uPwbBZFjjGgGUA6NLw09EwE0CqkOc4q9oUmW1yo/edit?usp=sharing"",""กำแพงเพชร!I347"")"),0)</f>
        <v>0</v>
      </c>
      <c r="J452" s="187">
        <f ca="1">IFERROR(__xludf.DUMMYFUNCTION("IMPORTRANGE(""https://docs.google.com/spreadsheets/d/11923uPwbBZFjjGgGUA6NLw09EwE0CqkOc4q9oUmW1yo/edit?usp=sharing"",""กำแพงเพชร!J347"")"),0)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IFERROR(__xludf.DUMMYFUNCTION("IMPORTRANGE(""https://docs.google.com/spreadsheets/d/11923uPwbBZFjjGgGUA6NLw09EwE0CqkOc4q9oUmW1yo/edit?usp=sharing"",""กำแพงเพชร!J348"")"),0)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IFERROR(__xludf.DUMMYFUNCTION("IMPORTRANGE(""https://docs.google.com/spreadsheets/d/11923uPwbBZFjjGgGUA6NLw09EwE0CqkOc4q9oUmW1yo/edit?usp=sharing"",""กำแพงเพชร!J349"")"),0)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IFERROR(__xludf.DUMMYFUNCTION("IMPORTRANGE(""https://docs.google.com/spreadsheets/d/11923uPwbBZFjjGgGUA6NLw09EwE0CqkOc4q9oUmW1yo/edit?usp=sharing"",""กำแพงเพชร!I350"")"),162754)</f>
        <v>162754</v>
      </c>
      <c r="J455" s="370">
        <f ca="1">IFERROR(__xludf.DUMMYFUNCTION("IMPORTRANGE(""https://docs.google.com/spreadsheets/d/11923uPwbBZFjjGgGUA6NLw09EwE0CqkOc4q9oUmW1yo/edit?usp=sharing"",""กำแพงเพชร!J350"")"),0)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IFERROR(__xludf.DUMMYFUNCTION("IMPORTRANGE(""https://docs.google.com/spreadsheets/d/11923uPwbBZFjjGgGUA6NLw09EwE0CqkOc4q9oUmW1yo/edit?usp=sharing"",""กำแพงเพชร!L350"")"),1145966)</f>
        <v>1145966</v>
      </c>
      <c r="M455" s="372"/>
      <c r="N455" s="372">
        <f ca="1">IFERROR(__xludf.DUMMYFUNCTION("IMPORTRANGE(""https://docs.google.com/spreadsheets/d/11923uPwbBZFjjGgGUA6NLw09EwE0CqkOc4q9oUmW1yo/edit?usp=sharing"",""กำแพงเพชร!M350"")"),89158.67)</f>
        <v>89158.67</v>
      </c>
      <c r="O455" s="372">
        <f t="shared" ref="O455:O459" ca="1" si="116">+IF(L455&gt;0,N455*100/L455,0)</f>
        <v>7.7802194829515008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IFERROR(__xludf.DUMMYFUNCTION("IMPORTRANGE(""https://docs.google.com/spreadsheets/d/11923uPwbBZFjjGgGUA6NLw09EwE0CqkOc4q9oUmW1yo/edit?usp=sharing"",""กำแพงเพชร!L351"")"),0)</f>
        <v>0</v>
      </c>
      <c r="M456" s="164"/>
      <c r="N456" s="168">
        <f ca="1">IFERROR(__xludf.DUMMYFUNCTION("IMPORTRANGE(""https://docs.google.com/spreadsheets/d/11923uPwbBZFjjGgGUA6NLw09EwE0CqkOc4q9oUmW1yo/edit?usp=sharing"",""กำแพงเพชร!M351"")"),0)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IFERROR(__xludf.DUMMYFUNCTION("IMPORTRANGE(""https://docs.google.com/spreadsheets/d/11923uPwbBZFjjGgGUA6NLw09EwE0CqkOc4q9oUmW1yo/edit?usp=sharing"",""กำแพงเพชร!L352"")"),1145966)</f>
        <v>1145966</v>
      </c>
      <c r="M457" s="165"/>
      <c r="N457" s="168">
        <f ca="1">IFERROR(__xludf.DUMMYFUNCTION("IMPORTRANGE(""https://docs.google.com/spreadsheets/d/11923uPwbBZFjjGgGUA6NLw09EwE0CqkOc4q9oUmW1yo/edit?usp=sharing"",""กำแพงเพชร!M352"")"),89158.67)</f>
        <v>89158.67</v>
      </c>
      <c r="O457" s="168">
        <f t="shared" ca="1" si="116"/>
        <v>7.7802194829515008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IFERROR(__xludf.DUMMYFUNCTION("IMPORTRANGE(""https://docs.google.com/spreadsheets/d/11923uPwbBZFjjGgGUA6NLw09EwE0CqkOc4q9oUmW1yo/edit?usp=sharing"",""กำแพงเพชร!L353"")"),0)</f>
        <v>0</v>
      </c>
      <c r="M458" s="168"/>
      <c r="N458" s="168">
        <f ca="1">IFERROR(__xludf.DUMMYFUNCTION("IMPORTRANGE(""https://docs.google.com/spreadsheets/d/11923uPwbBZFjjGgGUA6NLw09EwE0CqkOc4q9oUmW1yo/edit?usp=sharing"",""กำแพงเพชร!M353"")"),0)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IFERROR(__xludf.DUMMYFUNCTION("IMPORTRANGE(""https://docs.google.com/spreadsheets/d/11923uPwbBZFjjGgGUA6NLw09EwE0CqkOc4q9oUmW1yo/edit?usp=sharing"",""กำแพงเพชร!L354"")"),1145966)</f>
        <v>1145966</v>
      </c>
      <c r="M459" s="168"/>
      <c r="N459" s="168">
        <f ca="1">IFERROR(__xludf.DUMMYFUNCTION("IMPORTRANGE(""https://docs.google.com/spreadsheets/d/11923uPwbBZFjjGgGUA6NLw09EwE0CqkOc4q9oUmW1yo/edit?usp=sharing"",""กำแพงเพชร!M354"")"),89158.67)</f>
        <v>89158.67</v>
      </c>
      <c r="O459" s="168">
        <f t="shared" ca="1" si="116"/>
        <v>7.7802194829515008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IFERROR(__xludf.DUMMYFUNCTION("IMPORTRANGE(""https://docs.google.com/spreadsheets/d/11923uPwbBZFjjGgGUA6NLw09EwE0CqkOc4q9oUmW1yo/edit?usp=sharing"",""กำแพงเพชร!M355"")"),0)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IFERROR(__xludf.DUMMYFUNCTION("IMPORTRANGE(""https://docs.google.com/spreadsheets/d/11923uPwbBZFjjGgGUA6NLw09EwE0CqkOc4q9oUmW1yo/edit?usp=sharing"",""กำแพงเพชร!M356"")"),0)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IFERROR(__xludf.DUMMYFUNCTION("IMPORTRANGE(""https://docs.google.com/spreadsheets/d/11923uPwbBZFjjGgGUA6NLw09EwE0CqkOc4q9oUmW1yo/edit?usp=sharing"",""กำแพงเพชร!M357"")"),54266.67)</f>
        <v>54266.67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IFERROR(__xludf.DUMMYFUNCTION("IMPORTRANGE(""https://docs.google.com/spreadsheets/d/11923uPwbBZFjjGgGUA6NLw09EwE0CqkOc4q9oUmW1yo/edit?usp=sharing"",""กำแพงเพชร!M358"")"),34892)</f>
        <v>34892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IFERROR(__xludf.DUMMYFUNCTION("IMPORTRANGE(""https://docs.google.com/spreadsheets/d/11923uPwbBZFjjGgGUA6NLw09EwE0CqkOc4q9oUmW1yo/edit?usp=sharing"",""กำแพงเพชร!I359"")"),162754)</f>
        <v>162754</v>
      </c>
      <c r="J464" s="267">
        <f ca="1">IFERROR(__xludf.DUMMYFUNCTION("IMPORTRANGE(""https://docs.google.com/spreadsheets/d/11923uPwbBZFjjGgGUA6NLw09EwE0CqkOc4q9oUmW1yo/edit?usp=sharing"",""กำแพงเพชร!J359"")"),0)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IFERROR(__xludf.DUMMYFUNCTION("IMPORTRANGE(""https://docs.google.com/spreadsheets/d/11923uPwbBZFjjGgGUA6NLw09EwE0CqkOc4q9oUmW1yo/edit?usp=sharing"",""กำแพงเพชร!I360"")"),162754)</f>
        <v>162754</v>
      </c>
      <c r="J465" s="420">
        <f ca="1">IFERROR(__xludf.DUMMYFUNCTION("IMPORTRANGE(""https://docs.google.com/spreadsheets/d/11923uPwbBZFjjGgGUA6NLw09EwE0CqkOc4q9oUmW1yo/edit?usp=sharing"",""กำแพงเพชร!J360"")"),162754)</f>
        <v>162754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IFERROR(__xludf.DUMMYFUNCTION("IMPORTRANGE(""https://docs.google.com/spreadsheets/d/11923uPwbBZFjjGgGUA6NLw09EwE0CqkOc4q9oUmW1yo/edit?usp=sharing"",""กำแพงเพชร!I361"")"),12870)</f>
        <v>12870</v>
      </c>
      <c r="J466" s="420">
        <f ca="1">IFERROR(__xludf.DUMMYFUNCTION("IMPORTRANGE(""https://docs.google.com/spreadsheets/d/11923uPwbBZFjjGgGUA6NLw09EwE0CqkOc4q9oUmW1yo/edit?usp=sharing"",""กำแพงเพชร!J361"")"),12870)</f>
        <v>12870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IFERROR(__xludf.DUMMYFUNCTION("IMPORTRANGE(""https://docs.google.com/spreadsheets/d/11923uPwbBZFjjGgGUA6NLw09EwE0CqkOc4q9oUmW1yo/edit?usp=sharing"",""กำแพงเพชร!I362"")"),0)</f>
        <v>0</v>
      </c>
      <c r="J467" s="188">
        <f ca="1">IFERROR(__xludf.DUMMYFUNCTION("IMPORTRANGE(""https://docs.google.com/spreadsheets/d/11923uPwbBZFjjGgGUA6NLw09EwE0CqkOc4q9oUmW1yo/edit?usp=sharing"",""กำแพงเพชร!J362"")"),120898)</f>
        <v>120898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IFERROR(__xludf.DUMMYFUNCTION("IMPORTRANGE(""https://docs.google.com/spreadsheets/d/11923uPwbBZFjjGgGUA6NLw09EwE0CqkOc4q9oUmW1yo/edit?usp=sharing"",""กำแพงเพชร!I363"")"),0)</f>
        <v>0</v>
      </c>
      <c r="J468" s="188">
        <f ca="1">IFERROR(__xludf.DUMMYFUNCTION("IMPORTRANGE(""https://docs.google.com/spreadsheets/d/11923uPwbBZFjjGgGUA6NLw09EwE0CqkOc4q9oUmW1yo/edit?usp=sharing"",""กำแพงเพชร!J363"")"),10340)</f>
        <v>10340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IFERROR(__xludf.DUMMYFUNCTION("IMPORTRANGE(""https://docs.google.com/spreadsheets/d/11923uPwbBZFjjGgGUA6NLw09EwE0CqkOc4q9oUmW1yo/edit?usp=sharing"",""กำแพงเพชร!I364"")"),0)</f>
        <v>0</v>
      </c>
      <c r="J469" s="188">
        <f ca="1">IFERROR(__xludf.DUMMYFUNCTION("IMPORTRANGE(""https://docs.google.com/spreadsheets/d/11923uPwbBZFjjGgGUA6NLw09EwE0CqkOc4q9oUmW1yo/edit?usp=sharing"",""กำแพงเพชร!J364"")"),39441)</f>
        <v>39441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IFERROR(__xludf.DUMMYFUNCTION("IMPORTRANGE(""https://docs.google.com/spreadsheets/d/11923uPwbBZFjjGgGUA6NLw09EwE0CqkOc4q9oUmW1yo/edit?usp=sharing"",""กำแพงเพชร!I365"")"),0)</f>
        <v>0</v>
      </c>
      <c r="J470" s="188">
        <f ca="1">IFERROR(__xludf.DUMMYFUNCTION("IMPORTRANGE(""https://docs.google.com/spreadsheets/d/11923uPwbBZFjjGgGUA6NLw09EwE0CqkOc4q9oUmW1yo/edit?usp=sharing"",""กำแพงเพชร!J365"")"),2301)</f>
        <v>2301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IFERROR(__xludf.DUMMYFUNCTION("IMPORTRANGE(""https://docs.google.com/spreadsheets/d/11923uPwbBZFjjGgGUA6NLw09EwE0CqkOc4q9oUmW1yo/edit?usp=sharing"",""กำแพงเพชร!I366"")"),0)</f>
        <v>0</v>
      </c>
      <c r="J471" s="188">
        <f ca="1">IFERROR(__xludf.DUMMYFUNCTION("IMPORTRANGE(""https://docs.google.com/spreadsheets/d/11923uPwbBZFjjGgGUA6NLw09EwE0CqkOc4q9oUmW1yo/edit?usp=sharing"",""กำแพงเพชร!J366"")"),2415)</f>
        <v>2415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IFERROR(__xludf.DUMMYFUNCTION("IMPORTRANGE(""https://docs.google.com/spreadsheets/d/11923uPwbBZFjjGgGUA6NLw09EwE0CqkOc4q9oUmW1yo/edit?usp=sharing"",""กำแพงเพชร!I367"")"),0)</f>
        <v>0</v>
      </c>
      <c r="J472" s="188">
        <f ca="1">IFERROR(__xludf.DUMMYFUNCTION("IMPORTRANGE(""https://docs.google.com/spreadsheets/d/11923uPwbBZFjjGgGUA6NLw09EwE0CqkOc4q9oUmW1yo/edit?usp=sharing"",""กำแพงเพชร!J367"")"),229)</f>
        <v>229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IFERROR(__xludf.DUMMYFUNCTION("IMPORTRANGE(""https://docs.google.com/spreadsheets/d/11923uPwbBZFjjGgGUA6NLw09EwE0CqkOc4q9oUmW1yo/edit?usp=sharing"",""กำแพงเพชร!I368"")"),162754)</f>
        <v>162754</v>
      </c>
      <c r="J473" s="420">
        <f ca="1">IFERROR(__xludf.DUMMYFUNCTION("IMPORTRANGE(""https://docs.google.com/spreadsheets/d/11923uPwbBZFjjGgGUA6NLw09EwE0CqkOc4q9oUmW1yo/edit?usp=sharing"",""กำแพงเพชร!J368"")"),162754)</f>
        <v>162754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IFERROR(__xludf.DUMMYFUNCTION("IMPORTRANGE(""https://docs.google.com/spreadsheets/d/11923uPwbBZFjjGgGUA6NLw09EwE0CqkOc4q9oUmW1yo/edit?usp=sharing"",""กำแพงเพชร!I369"")"),12870)</f>
        <v>12870</v>
      </c>
      <c r="J474" s="420">
        <f ca="1">IFERROR(__xludf.DUMMYFUNCTION("IMPORTRANGE(""https://docs.google.com/spreadsheets/d/11923uPwbBZFjjGgGUA6NLw09EwE0CqkOc4q9oUmW1yo/edit?usp=sharing"",""กำแพงเพชร!J369"")"),12870)</f>
        <v>12870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IFERROR(__xludf.DUMMYFUNCTION("IMPORTRANGE(""https://docs.google.com/spreadsheets/d/11923uPwbBZFjjGgGUA6NLw09EwE0CqkOc4q9oUmW1yo/edit?usp=sharing"",""กำแพงเพชร!I370"")"),0)</f>
        <v>0</v>
      </c>
      <c r="J475" s="188">
        <f ca="1">IFERROR(__xludf.DUMMYFUNCTION("IMPORTRANGE(""https://docs.google.com/spreadsheets/d/11923uPwbBZFjjGgGUA6NLw09EwE0CqkOc4q9oUmW1yo/edit?usp=sharing"",""กำแพงเพชร!J370"")"),142162)</f>
        <v>142162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IFERROR(__xludf.DUMMYFUNCTION("IMPORTRANGE(""https://docs.google.com/spreadsheets/d/11923uPwbBZFjjGgGUA6NLw09EwE0CqkOc4q9oUmW1yo/edit?usp=sharing"",""กำแพงเพชร!I371"")"),0)</f>
        <v>0</v>
      </c>
      <c r="J476" s="188">
        <f ca="1">IFERROR(__xludf.DUMMYFUNCTION("IMPORTRANGE(""https://docs.google.com/spreadsheets/d/11923uPwbBZFjjGgGUA6NLw09EwE0CqkOc4q9oUmW1yo/edit?usp=sharing"",""กำแพงเพชร!J371"")"),11553)</f>
        <v>11553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IFERROR(__xludf.DUMMYFUNCTION("IMPORTRANGE(""https://docs.google.com/spreadsheets/d/11923uPwbBZFjjGgGUA6NLw09EwE0CqkOc4q9oUmW1yo/edit?usp=sharing"",""กำแพงเพชร!I372"")"),0)</f>
        <v>0</v>
      </c>
      <c r="J477" s="188">
        <f ca="1">IFERROR(__xludf.DUMMYFUNCTION("IMPORTRANGE(""https://docs.google.com/spreadsheets/d/11923uPwbBZFjjGgGUA6NLw09EwE0CqkOc4q9oUmW1yo/edit?usp=sharing"",""กำแพงเพชร!J372"")"),17316)</f>
        <v>17316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IFERROR(__xludf.DUMMYFUNCTION("IMPORTRANGE(""https://docs.google.com/spreadsheets/d/11923uPwbBZFjjGgGUA6NLw09EwE0CqkOc4q9oUmW1yo/edit?usp=sharing"",""กำแพงเพชร!I373"")"),0)</f>
        <v>0</v>
      </c>
      <c r="J478" s="188">
        <f ca="1">IFERROR(__xludf.DUMMYFUNCTION("IMPORTRANGE(""https://docs.google.com/spreadsheets/d/11923uPwbBZFjjGgGUA6NLw09EwE0CqkOc4q9oUmW1yo/edit?usp=sharing"",""กำแพงเพชร!J373"")"),1045)</f>
        <v>1045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IFERROR(__xludf.DUMMYFUNCTION("IMPORTRANGE(""https://docs.google.com/spreadsheets/d/11923uPwbBZFjjGgGUA6NLw09EwE0CqkOc4q9oUmW1yo/edit?usp=sharing"",""กำแพงเพชร!I374"")"),0)</f>
        <v>0</v>
      </c>
      <c r="J479" s="188">
        <f ca="1">IFERROR(__xludf.DUMMYFUNCTION("IMPORTRANGE(""https://docs.google.com/spreadsheets/d/11923uPwbBZFjjGgGUA6NLw09EwE0CqkOc4q9oUmW1yo/edit?usp=sharing"",""กำแพงเพชร!J374"")"),3276)</f>
        <v>3276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IFERROR(__xludf.DUMMYFUNCTION("IMPORTRANGE(""https://docs.google.com/spreadsheets/d/11923uPwbBZFjjGgGUA6NLw09EwE0CqkOc4q9oUmW1yo/edit?usp=sharing"",""กำแพงเพชร!I375"")"),0)</f>
        <v>0</v>
      </c>
      <c r="J480" s="188">
        <f ca="1">IFERROR(__xludf.DUMMYFUNCTION("IMPORTRANGE(""https://docs.google.com/spreadsheets/d/11923uPwbBZFjjGgGUA6NLw09EwE0CqkOc4q9oUmW1yo/edit?usp=sharing"",""กำแพงเพชร!J375"")"),272)</f>
        <v>272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IFERROR(__xludf.DUMMYFUNCTION("IMPORTRANGE(""https://docs.google.com/spreadsheets/d/11923uPwbBZFjjGgGUA6NLw09EwE0CqkOc4q9oUmW1yo/edit?usp=sharing"",""กำแพงเพชร!I376"")"),162754)</f>
        <v>162754</v>
      </c>
      <c r="J481" s="420">
        <f ca="1">IFERROR(__xludf.DUMMYFUNCTION("IMPORTRANGE(""https://docs.google.com/spreadsheets/d/11923uPwbBZFjjGgGUA6NLw09EwE0CqkOc4q9oUmW1yo/edit?usp=sharing"",""กำแพงเพชร!J376"")"),0)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IFERROR(__xludf.DUMMYFUNCTION("IMPORTRANGE(""https://docs.google.com/spreadsheets/d/11923uPwbBZFjjGgGUA6NLw09EwE0CqkOc4q9oUmW1yo/edit?usp=sharing"",""กำแพงเพชร!I377"")"),12870)</f>
        <v>12870</v>
      </c>
      <c r="J482" s="420">
        <f ca="1">IFERROR(__xludf.DUMMYFUNCTION("IMPORTRANGE(""https://docs.google.com/spreadsheets/d/11923uPwbBZFjjGgGUA6NLw09EwE0CqkOc4q9oUmW1yo/edit?usp=sharing"",""กำแพงเพชร!J377"")"),0)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IFERROR(__xludf.DUMMYFUNCTION("IMPORTRANGE(""https://docs.google.com/spreadsheets/d/11923uPwbBZFjjGgGUA6NLw09EwE0CqkOc4q9oUmW1yo/edit?usp=sharing"",""กำแพงเพชร!I378"")"),0)</f>
        <v>0</v>
      </c>
      <c r="J483" s="188">
        <f ca="1">IFERROR(__xludf.DUMMYFUNCTION("IMPORTRANGE(""https://docs.google.com/spreadsheets/d/11923uPwbBZFjjGgGUA6NLw09EwE0CqkOc4q9oUmW1yo/edit?usp=sharing"",""กำแพงเพชร!J378"")"),0)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IFERROR(__xludf.DUMMYFUNCTION("IMPORTRANGE(""https://docs.google.com/spreadsheets/d/11923uPwbBZFjjGgGUA6NLw09EwE0CqkOc4q9oUmW1yo/edit?usp=sharing"",""กำแพงเพชร!I379"")"),0)</f>
        <v>0</v>
      </c>
      <c r="J484" s="188">
        <f ca="1">IFERROR(__xludf.DUMMYFUNCTION("IMPORTRANGE(""https://docs.google.com/spreadsheets/d/11923uPwbBZFjjGgGUA6NLw09EwE0CqkOc4q9oUmW1yo/edit?usp=sharing"",""กำแพงเพชร!J379"")"),0)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IFERROR(__xludf.DUMMYFUNCTION("IMPORTRANGE(""https://docs.google.com/spreadsheets/d/11923uPwbBZFjjGgGUA6NLw09EwE0CqkOc4q9oUmW1yo/edit?usp=sharing"",""กำแพงเพชร!I380"")"),0)</f>
        <v>0</v>
      </c>
      <c r="J485" s="188">
        <f ca="1">IFERROR(__xludf.DUMMYFUNCTION("IMPORTRANGE(""https://docs.google.com/spreadsheets/d/11923uPwbBZFjjGgGUA6NLw09EwE0CqkOc4q9oUmW1yo/edit?usp=sharing"",""กำแพงเพชร!J380"")"),0)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IFERROR(__xludf.DUMMYFUNCTION("IMPORTRANGE(""https://docs.google.com/spreadsheets/d/11923uPwbBZFjjGgGUA6NLw09EwE0CqkOc4q9oUmW1yo/edit?usp=sharing"",""กำแพงเพชร!I381"")"),0)</f>
        <v>0</v>
      </c>
      <c r="J486" s="188">
        <f ca="1">IFERROR(__xludf.DUMMYFUNCTION("IMPORTRANGE(""https://docs.google.com/spreadsheets/d/11923uPwbBZFjjGgGUA6NLw09EwE0CqkOc4q9oUmW1yo/edit?usp=sharing"",""กำแพงเพชร!J381"")"),0)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IFERROR(__xludf.DUMMYFUNCTION("IMPORTRANGE(""https://docs.google.com/spreadsheets/d/11923uPwbBZFjjGgGUA6NLw09EwE0CqkOc4q9oUmW1yo/edit?usp=sharing"",""กำแพงเพชร!I382"")"),0)</f>
        <v>0</v>
      </c>
      <c r="J487" s="420">
        <f ca="1">IFERROR(__xludf.DUMMYFUNCTION("IMPORTRANGE(""https://docs.google.com/spreadsheets/d/11923uPwbBZFjjGgGUA6NLw09EwE0CqkOc4q9oUmW1yo/edit?usp=sharing"",""กำแพงเพชร!J382"")"),0)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IFERROR(__xludf.DUMMYFUNCTION("IMPORTRANGE(""https://docs.google.com/spreadsheets/d/11923uPwbBZFjjGgGUA6NLw09EwE0CqkOc4q9oUmW1yo/edit?usp=sharing"",""กำแพงเพชร!I383"")"),0)</f>
        <v>0</v>
      </c>
      <c r="J488" s="420">
        <f ca="1">IFERROR(__xludf.DUMMYFUNCTION("IMPORTRANGE(""https://docs.google.com/spreadsheets/d/11923uPwbBZFjjGgGUA6NLw09EwE0CqkOc4q9oUmW1yo/edit?usp=sharing"",""กำแพงเพชร!J383"")"),0)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IFERROR(__xludf.DUMMYFUNCTION("IMPORTRANGE(""https://docs.google.com/spreadsheets/d/11923uPwbBZFjjGgGUA6NLw09EwE0CqkOc4q9oUmW1yo/edit?usp=sharing"",""กำแพงเพชร!I384"")"),0)</f>
        <v>0</v>
      </c>
      <c r="J489" s="188">
        <f ca="1">IFERROR(__xludf.DUMMYFUNCTION("IMPORTRANGE(""https://docs.google.com/spreadsheets/d/11923uPwbBZFjjGgGUA6NLw09EwE0CqkOc4q9oUmW1yo/edit?usp=sharing"",""กำแพงเพชร!J384"")"),0)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IFERROR(__xludf.DUMMYFUNCTION("IMPORTRANGE(""https://docs.google.com/spreadsheets/d/11923uPwbBZFjjGgGUA6NLw09EwE0CqkOc4q9oUmW1yo/edit?usp=sharing"",""กำแพงเพชร!I385"")"),0)</f>
        <v>0</v>
      </c>
      <c r="J490" s="188">
        <f ca="1">IFERROR(__xludf.DUMMYFUNCTION("IMPORTRANGE(""https://docs.google.com/spreadsheets/d/11923uPwbBZFjjGgGUA6NLw09EwE0CqkOc4q9oUmW1yo/edit?usp=sharing"",""กำแพงเพชร!J385"")"),0)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IFERROR(__xludf.DUMMYFUNCTION("IMPORTRANGE(""https://docs.google.com/spreadsheets/d/11923uPwbBZFjjGgGUA6NLw09EwE0CqkOc4q9oUmW1yo/edit?usp=sharing"",""กำแพงเพชร!I386"")"),0)</f>
        <v>0</v>
      </c>
      <c r="J491" s="188">
        <f ca="1">IFERROR(__xludf.DUMMYFUNCTION("IMPORTRANGE(""https://docs.google.com/spreadsheets/d/11923uPwbBZFjjGgGUA6NLw09EwE0CqkOc4q9oUmW1yo/edit?usp=sharing"",""กำแพงเพชร!J386"")"),0)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IFERROR(__xludf.DUMMYFUNCTION("IMPORTRANGE(""https://docs.google.com/spreadsheets/d/11923uPwbBZFjjGgGUA6NLw09EwE0CqkOc4q9oUmW1yo/edit?usp=sharing"",""กำแพงเพชร!I387"")"),0)</f>
        <v>0</v>
      </c>
      <c r="J492" s="188">
        <f ca="1">IFERROR(__xludf.DUMMYFUNCTION("IMPORTRANGE(""https://docs.google.com/spreadsheets/d/11923uPwbBZFjjGgGUA6NLw09EwE0CqkOc4q9oUmW1yo/edit?usp=sharing"",""กำแพงเพชร!J387"")"),0)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IFERROR(__xludf.DUMMYFUNCTION("IMPORTRANGE(""https://docs.google.com/spreadsheets/d/11923uPwbBZFjjGgGUA6NLw09EwE0CqkOc4q9oUmW1yo/edit?usp=sharing"",""กำแพงเพชร!I388"")"),0)</f>
        <v>0</v>
      </c>
      <c r="J493" s="188">
        <f ca="1">IFERROR(__xludf.DUMMYFUNCTION("IMPORTRANGE(""https://docs.google.com/spreadsheets/d/11923uPwbBZFjjGgGUA6NLw09EwE0CqkOc4q9oUmW1yo/edit?usp=sharing"",""กำแพงเพชร!J388"")"),0)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IFERROR(__xludf.DUMMYFUNCTION("IMPORTRANGE(""https://docs.google.com/spreadsheets/d/11923uPwbBZFjjGgGUA6NLw09EwE0CqkOc4q9oUmW1yo/edit?usp=sharing"",""กำแพงเพชร!I389"")"),0)</f>
        <v>0</v>
      </c>
      <c r="J494" s="436">
        <f ca="1">IFERROR(__xludf.DUMMYFUNCTION("IMPORTRANGE(""https://docs.google.com/spreadsheets/d/11923uPwbBZFjjGgGUA6NLw09EwE0CqkOc4q9oUmW1yo/edit?usp=sharing"",""กำแพงเพชร!J389"")"),0)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IFERROR(__xludf.DUMMYFUNCTION("IMPORTRANGE(""https://docs.google.com/spreadsheets/d/11923uPwbBZFjjGgGUA6NLw09EwE0CqkOc4q9oUmW1yo/edit?usp=sharing"",""กำแพงเพชร!I390"")"),0)</f>
        <v>0</v>
      </c>
      <c r="J495" s="436">
        <f ca="1">IFERROR(__xludf.DUMMYFUNCTION("IMPORTRANGE(""https://docs.google.com/spreadsheets/d/11923uPwbBZFjjGgGUA6NLw09EwE0CqkOc4q9oUmW1yo/edit?usp=sharing"",""กำแพงเพชร!J390"")"),0)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IFERROR(__xludf.DUMMYFUNCTION("IMPORTRANGE(""https://docs.google.com/spreadsheets/d/11923uPwbBZFjjGgGUA6NLw09EwE0CqkOc4q9oUmW1yo/edit?usp=sharing"",""กำแพงเพชร!I391"")"),0)</f>
        <v>0</v>
      </c>
      <c r="J496" s="436">
        <f ca="1">IFERROR(__xludf.DUMMYFUNCTION("IMPORTRANGE(""https://docs.google.com/spreadsheets/d/11923uPwbBZFjjGgGUA6NLw09EwE0CqkOc4q9oUmW1yo/edit?usp=sharing"",""กำแพงเพชร!J391"")"),0)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IFERROR(__xludf.DUMMYFUNCTION("IMPORTRANGE(""https://docs.google.com/spreadsheets/d/11923uPwbBZFjjGgGUA6NLw09EwE0CqkOc4q9oUmW1yo/edit?usp=sharing"",""กำแพงเพชร!I392"")"),6340)</f>
        <v>6340</v>
      </c>
      <c r="J497" s="443">
        <f ca="1">IFERROR(__xludf.DUMMYFUNCTION("IMPORTRANGE(""https://docs.google.com/spreadsheets/d/11923uPwbBZFjjGgGUA6NLw09EwE0CqkOc4q9oUmW1yo/edit?usp=sharing"",""กำแพงเพชร!J392"")"),0)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IFERROR(__xludf.DUMMYFUNCTION("IMPORTRANGE(""https://docs.google.com/spreadsheets/d/11923uPwbBZFjjGgGUA6NLw09EwE0CqkOc4q9oUmW1yo/edit?usp=sharing"",""กำแพงเพชร!I393"")"),6340)</f>
        <v>6340</v>
      </c>
      <c r="J498" s="420">
        <f ca="1">IFERROR(__xludf.DUMMYFUNCTION("IMPORTRANGE(""https://docs.google.com/spreadsheets/d/11923uPwbBZFjjGgGUA6NLw09EwE0CqkOc4q9oUmW1yo/edit?usp=sharing"",""กำแพงเพชร!J393"")"),0)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IFERROR(__xludf.DUMMYFUNCTION("IMPORTRANGE(""https://docs.google.com/spreadsheets/d/11923uPwbBZFjjGgGUA6NLw09EwE0CqkOc4q9oUmW1yo/edit?usp=sharing"",""กำแพงเพชร!I394"")"),600)</f>
        <v>600</v>
      </c>
      <c r="J499" s="420">
        <f ca="1">IFERROR(__xludf.DUMMYFUNCTION("IMPORTRANGE(""https://docs.google.com/spreadsheets/d/11923uPwbBZFjjGgGUA6NLw09EwE0CqkOc4q9oUmW1yo/edit?usp=sharing"",""กำแพงเพชร!J394"")"),0)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IFERROR(__xludf.DUMMYFUNCTION("IMPORTRANGE(""https://docs.google.com/spreadsheets/d/11923uPwbBZFjjGgGUA6NLw09EwE0CqkOc4q9oUmW1yo/edit?usp=sharing"",""กำแพงเพชร!I395"")"),0)</f>
        <v>0</v>
      </c>
      <c r="J500" s="162">
        <f ca="1">IFERROR(__xludf.DUMMYFUNCTION("IMPORTRANGE(""https://docs.google.com/spreadsheets/d/11923uPwbBZFjjGgGUA6NLw09EwE0CqkOc4q9oUmW1yo/edit?usp=sharing"",""กำแพงเพชร!J395"")"),0)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IFERROR(__xludf.DUMMYFUNCTION("IMPORTRANGE(""https://docs.google.com/spreadsheets/d/11923uPwbBZFjjGgGUA6NLw09EwE0CqkOc4q9oUmW1yo/edit?usp=sharing"",""กำแพงเพชร!I396"")"),0)</f>
        <v>0</v>
      </c>
      <c r="J501" s="162">
        <f ca="1">IFERROR(__xludf.DUMMYFUNCTION("IMPORTRANGE(""https://docs.google.com/spreadsheets/d/11923uPwbBZFjjGgGUA6NLw09EwE0CqkOc4q9oUmW1yo/edit?usp=sharing"",""กำแพงเพชร!J396"")"),0)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IFERROR(__xludf.DUMMYFUNCTION("IMPORTRANGE(""https://docs.google.com/spreadsheets/d/11923uPwbBZFjjGgGUA6NLw09EwE0CqkOc4q9oUmW1yo/edit?usp=sharing"",""กำแพงเพชร!I397"")"),0)</f>
        <v>0</v>
      </c>
      <c r="J502" s="188">
        <f ca="1">IFERROR(__xludf.DUMMYFUNCTION("IMPORTRANGE(""https://docs.google.com/spreadsheets/d/11923uPwbBZFjjGgGUA6NLw09EwE0CqkOc4q9oUmW1yo/edit?usp=sharing"",""กำแพงเพชร!J397"")"),0)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IFERROR(__xludf.DUMMYFUNCTION("IMPORTRANGE(""https://docs.google.com/spreadsheets/d/11923uPwbBZFjjGgGUA6NLw09EwE0CqkOc4q9oUmW1yo/edit?usp=sharing"",""กำแพงเพชร!I398"")"),0)</f>
        <v>0</v>
      </c>
      <c r="J503" s="197">
        <f ca="1">IFERROR(__xludf.DUMMYFUNCTION("IMPORTRANGE(""https://docs.google.com/spreadsheets/d/11923uPwbBZFjjGgGUA6NLw09EwE0CqkOc4q9oUmW1yo/edit?usp=sharing"",""กำแพงเพชร!J398"")"),0)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IFERROR(__xludf.DUMMYFUNCTION("IMPORTRANGE(""https://docs.google.com/spreadsheets/d/11923uPwbBZFjjGgGUA6NLw09EwE0CqkOc4q9oUmW1yo/edit?usp=sharing"",""กำแพงเพชร!I399"")"),0)</f>
        <v>0</v>
      </c>
      <c r="J504" s="188">
        <f ca="1">IFERROR(__xludf.DUMMYFUNCTION("IMPORTRANGE(""https://docs.google.com/spreadsheets/d/11923uPwbBZFjjGgGUA6NLw09EwE0CqkOc4q9oUmW1yo/edit?usp=sharing"",""กำแพงเพชร!J399"")"),0)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IFERROR(__xludf.DUMMYFUNCTION("IMPORTRANGE(""https://docs.google.com/spreadsheets/d/11923uPwbBZFjjGgGUA6NLw09EwE0CqkOc4q9oUmW1yo/edit?usp=sharing"",""กำแพงเพชร!I400"")"),0)</f>
        <v>0</v>
      </c>
      <c r="J505" s="197">
        <f ca="1">IFERROR(__xludf.DUMMYFUNCTION("IMPORTRANGE(""https://docs.google.com/spreadsheets/d/11923uPwbBZFjjGgGUA6NLw09EwE0CqkOc4q9oUmW1yo/edit?usp=sharing"",""กำแพงเพชร!J400"")"),0)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IFERROR(__xludf.DUMMYFUNCTION("IMPORTRANGE(""https://docs.google.com/spreadsheets/d/11923uPwbBZFjjGgGUA6NLw09EwE0CqkOc4q9oUmW1yo/edit?usp=sharing"",""กำแพงเพชร!I401"")"),0)</f>
        <v>0</v>
      </c>
      <c r="J506" s="188">
        <f ca="1">IFERROR(__xludf.DUMMYFUNCTION("IMPORTRANGE(""https://docs.google.com/spreadsheets/d/11923uPwbBZFjjGgGUA6NLw09EwE0CqkOc4q9oUmW1yo/edit?usp=sharing"",""กำแพงเพชร!J401"")"),0)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IFERROR(__xludf.DUMMYFUNCTION("IMPORTRANGE(""https://docs.google.com/spreadsheets/d/11923uPwbBZFjjGgGUA6NLw09EwE0CqkOc4q9oUmW1yo/edit?usp=sharing"",""กำแพงเพชร!I402"")"),0)</f>
        <v>0</v>
      </c>
      <c r="J507" s="197">
        <f ca="1">IFERROR(__xludf.DUMMYFUNCTION("IMPORTRANGE(""https://docs.google.com/spreadsheets/d/11923uPwbBZFjjGgGUA6NLw09EwE0CqkOc4q9oUmW1yo/edit?usp=sharing"",""กำแพงเพชร!J402"")"),0)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IFERROR(__xludf.DUMMYFUNCTION("IMPORTRANGE(""https://docs.google.com/spreadsheets/d/11923uPwbBZFjjGgGUA6NLw09EwE0CqkOc4q9oUmW1yo/edit?usp=sharing"",""กำแพงเพชร!I403"")"),0)</f>
        <v>0</v>
      </c>
      <c r="J508" s="162">
        <f ca="1">IFERROR(__xludf.DUMMYFUNCTION("IMPORTRANGE(""https://docs.google.com/spreadsheets/d/11923uPwbBZFjjGgGUA6NLw09EwE0CqkOc4q9oUmW1yo/edit?usp=sharing"",""กำแพงเพชร!J403"")"),0)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IFERROR(__xludf.DUMMYFUNCTION("IMPORTRANGE(""https://docs.google.com/spreadsheets/d/11923uPwbBZFjjGgGUA6NLw09EwE0CqkOc4q9oUmW1yo/edit?usp=sharing"",""กำแพงเพชร!I404"")"),0)</f>
        <v>0</v>
      </c>
      <c r="J509" s="162">
        <f ca="1">IFERROR(__xludf.DUMMYFUNCTION("IMPORTRANGE(""https://docs.google.com/spreadsheets/d/11923uPwbBZFjjGgGUA6NLw09EwE0CqkOc4q9oUmW1yo/edit?usp=sharing"",""กำแพงเพชร!J404"")"),0)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IFERROR(__xludf.DUMMYFUNCTION("IMPORTRANGE(""https://docs.google.com/spreadsheets/d/11923uPwbBZFjjGgGUA6NLw09EwE0CqkOc4q9oUmW1yo/edit?usp=sharing"",""กำแพงเพชร!I405"")"),0)</f>
        <v>0</v>
      </c>
      <c r="J510" s="197">
        <f ca="1">IFERROR(__xludf.DUMMYFUNCTION("IMPORTRANGE(""https://docs.google.com/spreadsheets/d/11923uPwbBZFjjGgGUA6NLw09EwE0CqkOc4q9oUmW1yo/edit?usp=sharing"",""กำแพงเพชร!J405"")"),0)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IFERROR(__xludf.DUMMYFUNCTION("IMPORTRANGE(""https://docs.google.com/spreadsheets/d/11923uPwbBZFjjGgGUA6NLw09EwE0CqkOc4q9oUmW1yo/edit?usp=sharing"",""กำแพงเพชร!I406"")"),0)</f>
        <v>0</v>
      </c>
      <c r="J511" s="197">
        <f ca="1">IFERROR(__xludf.DUMMYFUNCTION("IMPORTRANGE(""https://docs.google.com/spreadsheets/d/11923uPwbBZFjjGgGUA6NLw09EwE0CqkOc4q9oUmW1yo/edit?usp=sharing"",""กำแพงเพชร!J406"")"),0)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IFERROR(__xludf.DUMMYFUNCTION("IMPORTRANGE(""https://docs.google.com/spreadsheets/d/11923uPwbBZFjjGgGUA6NLw09EwE0CqkOc4q9oUmW1yo/edit?usp=sharing"",""กำแพงเพชร!I407"")"),0)</f>
        <v>0</v>
      </c>
      <c r="J512" s="197">
        <f ca="1">IFERROR(__xludf.DUMMYFUNCTION("IMPORTRANGE(""https://docs.google.com/spreadsheets/d/11923uPwbBZFjjGgGUA6NLw09EwE0CqkOc4q9oUmW1yo/edit?usp=sharing"",""กำแพงเพชร!J407"")"),0)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IFERROR(__xludf.DUMMYFUNCTION("IMPORTRANGE(""https://docs.google.com/spreadsheets/d/11923uPwbBZFjjGgGUA6NLw09EwE0CqkOc4q9oUmW1yo/edit?usp=sharing"",""กำแพงเพชร!I408"")"),0)</f>
        <v>0</v>
      </c>
      <c r="J513" s="197">
        <f ca="1">IFERROR(__xludf.DUMMYFUNCTION("IMPORTRANGE(""https://docs.google.com/spreadsheets/d/11923uPwbBZFjjGgGUA6NLw09EwE0CqkOc4q9oUmW1yo/edit?usp=sharing"",""กำแพงเพชร!J408"")"),0)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IFERROR(__xludf.DUMMYFUNCTION("IMPORTRANGE(""https://docs.google.com/spreadsheets/d/11923uPwbBZFjjGgGUA6NLw09EwE0CqkOc4q9oUmW1yo/edit?usp=sharing"",""กำแพงเพชร!I409"")"),0)</f>
        <v>0</v>
      </c>
      <c r="J514" s="197">
        <f ca="1">IFERROR(__xludf.DUMMYFUNCTION("IMPORTRANGE(""https://docs.google.com/spreadsheets/d/11923uPwbBZFjjGgGUA6NLw09EwE0CqkOc4q9oUmW1yo/edit?usp=sharing"",""กำแพงเพชร!J409"")"),0)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IFERROR(__xludf.DUMMYFUNCTION("IMPORTRANGE(""https://docs.google.com/spreadsheets/d/11923uPwbBZFjjGgGUA6NLw09EwE0CqkOc4q9oUmW1yo/edit?usp=sharing"",""กำแพงเพชร!I410"")"),0)</f>
        <v>0</v>
      </c>
      <c r="J515" s="197">
        <f ca="1">IFERROR(__xludf.DUMMYFUNCTION("IMPORTRANGE(""https://docs.google.com/spreadsheets/d/11923uPwbBZFjjGgGUA6NLw09EwE0CqkOc4q9oUmW1yo/edit?usp=sharing"",""กำแพงเพชร!J410"")"),0)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IFERROR(__xludf.DUMMYFUNCTION("IMPORTRANGE(""https://docs.google.com/spreadsheets/d/11923uPwbBZFjjGgGUA6NLw09EwE0CqkOc4q9oUmW1yo/edit?usp=sharing"",""กำแพงเพชร!I411"")"),0)</f>
        <v>0</v>
      </c>
      <c r="J516" s="267">
        <f ca="1">IFERROR(__xludf.DUMMYFUNCTION("IMPORTRANGE(""https://docs.google.com/spreadsheets/d/11923uPwbBZFjjGgGUA6NLw09EwE0CqkOc4q9oUmW1yo/edit?usp=sharing"",""กำแพงเพชร!J411"")"),0)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IFERROR(__xludf.DUMMYFUNCTION("IMPORTRANGE(""https://docs.google.com/spreadsheets/d/11923uPwbBZFjjGgGUA6NLw09EwE0CqkOc4q9oUmW1yo/edit?usp=sharing"",""กำแพงเพชร!I412"")"),0)</f>
        <v>0</v>
      </c>
      <c r="J517" s="284">
        <f ca="1">IFERROR(__xludf.DUMMYFUNCTION("IMPORTRANGE(""https://docs.google.com/spreadsheets/d/11923uPwbBZFjjGgGUA6NLw09EwE0CqkOc4q9oUmW1yo/edit?usp=sharing"",""กำแพงเพชร!J412"")"),0)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IFERROR(__xludf.DUMMYFUNCTION("IMPORTRANGE(""https://docs.google.com/spreadsheets/d/11923uPwbBZFjjGgGUA6NLw09EwE0CqkOc4q9oUmW1yo/edit?usp=sharing"",""กำแพงเพชร!I413"")"),0)</f>
        <v>0</v>
      </c>
      <c r="J518" s="284">
        <f ca="1">IFERROR(__xludf.DUMMYFUNCTION("IMPORTRANGE(""https://docs.google.com/spreadsheets/d/11923uPwbBZFjjGgGUA6NLw09EwE0CqkOc4q9oUmW1yo/edit?usp=sharing"",""กำแพงเพชร!J413"")"),0)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IFERROR(__xludf.DUMMYFUNCTION("IMPORTRANGE(""https://docs.google.com/spreadsheets/d/11923uPwbBZFjjGgGUA6NLw09EwE0CqkOc4q9oUmW1yo/edit?usp=sharing"",""กำแพงเพชร!I414"")"),0)</f>
        <v>0</v>
      </c>
      <c r="J519" s="187">
        <f ca="1">IFERROR(__xludf.DUMMYFUNCTION("IMPORTRANGE(""https://docs.google.com/spreadsheets/d/11923uPwbBZFjjGgGUA6NLw09EwE0CqkOc4q9oUmW1yo/edit?usp=sharing"",""กำแพงเพชร!J414"")"),0)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IFERROR(__xludf.DUMMYFUNCTION("IMPORTRANGE(""https://docs.google.com/spreadsheets/d/11923uPwbBZFjjGgGUA6NLw09EwE0CqkOc4q9oUmW1yo/edit?usp=sharing"",""กำแพงเพชร!I415"")"),0)</f>
        <v>0</v>
      </c>
      <c r="J520" s="187">
        <f ca="1">IFERROR(__xludf.DUMMYFUNCTION("IMPORTRANGE(""https://docs.google.com/spreadsheets/d/11923uPwbBZFjjGgGUA6NLw09EwE0CqkOc4q9oUmW1yo/edit?usp=sharing"",""กำแพงเพชร!J415"")"),0)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IFERROR(__xludf.DUMMYFUNCTION("IMPORTRANGE(""https://docs.google.com/spreadsheets/d/11923uPwbBZFjjGgGUA6NLw09EwE0CqkOc4q9oUmW1yo/edit?usp=sharing"",""กำแพงเพชร!I416"")"),0)</f>
        <v>0</v>
      </c>
      <c r="J521" s="187">
        <f ca="1">IFERROR(__xludf.DUMMYFUNCTION("IMPORTRANGE(""https://docs.google.com/spreadsheets/d/11923uPwbBZFjjGgGUA6NLw09EwE0CqkOc4q9oUmW1yo/edit?usp=sharing"",""กำแพงเพชร!J416"")"),0)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IFERROR(__xludf.DUMMYFUNCTION("IMPORTRANGE(""https://docs.google.com/spreadsheets/d/11923uPwbBZFjjGgGUA6NLw09EwE0CqkOc4q9oUmW1yo/edit?usp=sharing"",""กำแพงเพชร!I417"")"),0)</f>
        <v>0</v>
      </c>
      <c r="J522" s="187">
        <f ca="1">IFERROR(__xludf.DUMMYFUNCTION("IMPORTRANGE(""https://docs.google.com/spreadsheets/d/11923uPwbBZFjjGgGUA6NLw09EwE0CqkOc4q9oUmW1yo/edit?usp=sharing"",""กำแพงเพชร!J417"")"),0)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IFERROR(__xludf.DUMMYFUNCTION("IMPORTRANGE(""https://docs.google.com/spreadsheets/d/11923uPwbBZFjjGgGUA6NLw09EwE0CqkOc4q9oUmW1yo/edit?usp=sharing"",""กำแพงเพชร!I418"")"),0)</f>
        <v>0</v>
      </c>
      <c r="J523" s="187">
        <f ca="1">IFERROR(__xludf.DUMMYFUNCTION("IMPORTRANGE(""https://docs.google.com/spreadsheets/d/11923uPwbBZFjjGgGUA6NLw09EwE0CqkOc4q9oUmW1yo/edit?usp=sharing"",""กำแพงเพชร!J418"")"),2168)</f>
        <v>2168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IFERROR(__xludf.DUMMYFUNCTION("IMPORTRANGE(""https://docs.google.com/spreadsheets/d/11923uPwbBZFjjGgGUA6NLw09EwE0CqkOc4q9oUmW1yo/edit?usp=sharing"",""กำแพงเพชร!I419"")"),0)</f>
        <v>0</v>
      </c>
      <c r="J524" s="187">
        <f ca="1">IFERROR(__xludf.DUMMYFUNCTION("IMPORTRANGE(""https://docs.google.com/spreadsheets/d/11923uPwbBZFjjGgGUA6NLw09EwE0CqkOc4q9oUmW1yo/edit?usp=sharing"",""กำแพงเพชร!J419"")"),106)</f>
        <v>106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IFERROR(__xludf.DUMMYFUNCTION("IMPORTRANGE(""https://docs.google.com/spreadsheets/d/11923uPwbBZFjjGgGUA6NLw09EwE0CqkOc4q9oUmW1yo/edit?usp=sharing"",""กำแพงเพชร!I420"")"),2168)</f>
        <v>2168</v>
      </c>
      <c r="J525" s="284">
        <f ca="1">IFERROR(__xludf.DUMMYFUNCTION("IMPORTRANGE(""https://docs.google.com/spreadsheets/d/11923uPwbBZFjjGgGUA6NLw09EwE0CqkOc4q9oUmW1yo/edit?usp=sharing"",""กำแพงเพชร!J420"")"),0)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IFERROR(__xludf.DUMMYFUNCTION("IMPORTRANGE(""https://docs.google.com/spreadsheets/d/11923uPwbBZFjjGgGUA6NLw09EwE0CqkOc4q9oUmW1yo/edit?usp=sharing"",""กำแพงเพชร!I421"")"),106)</f>
        <v>106</v>
      </c>
      <c r="J526" s="284">
        <f ca="1">IFERROR(__xludf.DUMMYFUNCTION("IMPORTRANGE(""https://docs.google.com/spreadsheets/d/11923uPwbBZFjjGgGUA6NLw09EwE0CqkOc4q9oUmW1yo/edit?usp=sharing"",""กำแพงเพชร!J421"")"),0)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IFERROR(__xludf.DUMMYFUNCTION("IMPORTRANGE(""https://docs.google.com/spreadsheets/d/11923uPwbBZFjjGgGUA6NLw09EwE0CqkOc4q9oUmW1yo/edit?usp=sharing"",""กำแพงเพชร!I422"")"),0)</f>
        <v>0</v>
      </c>
      <c r="J527" s="197">
        <f ca="1">IFERROR(__xludf.DUMMYFUNCTION("IMPORTRANGE(""https://docs.google.com/spreadsheets/d/11923uPwbBZFjjGgGUA6NLw09EwE0CqkOc4q9oUmW1yo/edit?usp=sharing"",""กำแพงเพชร!J422"")"),0)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IFERROR(__xludf.DUMMYFUNCTION("IMPORTRANGE(""https://docs.google.com/spreadsheets/d/11923uPwbBZFjjGgGUA6NLw09EwE0CqkOc4q9oUmW1yo/edit?usp=sharing"",""กำแพงเพชร!I423"")"),0)</f>
        <v>0</v>
      </c>
      <c r="J528" s="197">
        <f ca="1">IFERROR(__xludf.DUMMYFUNCTION("IMPORTRANGE(""https://docs.google.com/spreadsheets/d/11923uPwbBZFjjGgGUA6NLw09EwE0CqkOc4q9oUmW1yo/edit?usp=sharing"",""กำแพงเพชร!J423"")"),0)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IFERROR(__xludf.DUMMYFUNCTION("IMPORTRANGE(""https://docs.google.com/spreadsheets/d/11923uPwbBZFjjGgGUA6NLw09EwE0CqkOc4q9oUmW1yo/edit?usp=sharing"",""กำแพงเพชร!I424"")"),0)</f>
        <v>0</v>
      </c>
      <c r="J529" s="197">
        <f ca="1">IFERROR(__xludf.DUMMYFUNCTION("IMPORTRANGE(""https://docs.google.com/spreadsheets/d/11923uPwbBZFjjGgGUA6NLw09EwE0CqkOc4q9oUmW1yo/edit?usp=sharing"",""กำแพงเพชร!J424"")"),0)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IFERROR(__xludf.DUMMYFUNCTION("IMPORTRANGE(""https://docs.google.com/spreadsheets/d/11923uPwbBZFjjGgGUA6NLw09EwE0CqkOc4q9oUmW1yo/edit?usp=sharing"",""กำแพงเพชร!I425"")"),0)</f>
        <v>0</v>
      </c>
      <c r="J530" s="197">
        <f ca="1">IFERROR(__xludf.DUMMYFUNCTION("IMPORTRANGE(""https://docs.google.com/spreadsheets/d/11923uPwbBZFjjGgGUA6NLw09EwE0CqkOc4q9oUmW1yo/edit?usp=sharing"",""กำแพงเพชร!J425"")"),0)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IFERROR(__xludf.DUMMYFUNCTION("IMPORTRANGE(""https://docs.google.com/spreadsheets/d/11923uPwbBZFjjGgGUA6NLw09EwE0CqkOc4q9oUmW1yo/edit?usp=sharing"",""กำแพงเพชร!I426"")"),0)</f>
        <v>0</v>
      </c>
      <c r="J531" s="197">
        <f ca="1">IFERROR(__xludf.DUMMYFUNCTION("IMPORTRANGE(""https://docs.google.com/spreadsheets/d/11923uPwbBZFjjGgGUA6NLw09EwE0CqkOc4q9oUmW1yo/edit?usp=sharing"",""กำแพงเพชร!J426"")"),0)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IFERROR(__xludf.DUMMYFUNCTION("IMPORTRANGE(""https://docs.google.com/spreadsheets/d/11923uPwbBZFjjGgGUA6NLw09EwE0CqkOc4q9oUmW1yo/edit?usp=sharing"",""กำแพงเพชร!I427"")"),0)</f>
        <v>0</v>
      </c>
      <c r="J532" s="466">
        <f ca="1">IFERROR(__xludf.DUMMYFUNCTION("IMPORTRANGE(""https://docs.google.com/spreadsheets/d/11923uPwbBZFjjGgGUA6NLw09EwE0CqkOc4q9oUmW1yo/edit?usp=sharing"",""กำแพงเพชร!J427"")"),0)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IFERROR(__xludf.DUMMYFUNCTION("IMPORTRANGE(""https://docs.google.com/spreadsheets/d/11923uPwbBZFjjGgGUA6NLw09EwE0CqkOc4q9oUmW1yo/edit?usp=sharing"",""กำแพงเพชร!I428"")"),22)</f>
        <v>22</v>
      </c>
      <c r="J533" s="409">
        <f ca="1">IFERROR(__xludf.DUMMYFUNCTION("IMPORTRANGE(""https://docs.google.com/spreadsheets/d/11923uPwbBZFjjGgGUA6NLw09EwE0CqkOc4q9oUmW1yo/edit?usp=sharing"",""กำแพงเพชร!J428"")"),22)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IFERROR(__xludf.DUMMYFUNCTION("IMPORTRANGE(""https://docs.google.com/spreadsheets/d/11923uPwbBZFjjGgGUA6NLw09EwE0CqkOc4q9oUmW1yo/edit?usp=sharing"",""กำแพงเพชร!L428"")"),34350)</f>
        <v>34350</v>
      </c>
      <c r="M533" s="411"/>
      <c r="N533" s="411">
        <f ca="1">IFERROR(__xludf.DUMMYFUNCTION("IMPORTRANGE(""https://docs.google.com/spreadsheets/d/11923uPwbBZFjjGgGUA6NLw09EwE0CqkOc4q9oUmW1yo/edit?usp=sharing"",""กำแพงเพชร!M428"")"),29825)</f>
        <v>29825</v>
      </c>
      <c r="O533" s="411">
        <f t="shared" ref="O533:O537" ca="1" si="118">+IF(L533&gt;0,N533*100/L533,0)</f>
        <v>86.826783114992722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IFERROR(__xludf.DUMMYFUNCTION("IMPORTRANGE(""https://docs.google.com/spreadsheets/d/11923uPwbBZFjjGgGUA6NLw09EwE0CqkOc4q9oUmW1yo/edit?usp=sharing"",""กำแพงเพชร!L429"")"),0)</f>
        <v>0</v>
      </c>
      <c r="M534" s="164"/>
      <c r="N534" s="168">
        <f ca="1">IFERROR(__xludf.DUMMYFUNCTION("IMPORTRANGE(""https://docs.google.com/spreadsheets/d/11923uPwbBZFjjGgGUA6NLw09EwE0CqkOc4q9oUmW1yo/edit?usp=sharing"",""กำแพงเพชร!M429"")"),0)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IFERROR(__xludf.DUMMYFUNCTION("IMPORTRANGE(""https://docs.google.com/spreadsheets/d/11923uPwbBZFjjGgGUA6NLw09EwE0CqkOc4q9oUmW1yo/edit?usp=sharing"",""กำแพงเพชร!L430"")"),34350)</f>
        <v>34350</v>
      </c>
      <c r="M535" s="165"/>
      <c r="N535" s="168">
        <f ca="1">IFERROR(__xludf.DUMMYFUNCTION("IMPORTRANGE(""https://docs.google.com/spreadsheets/d/11923uPwbBZFjjGgGUA6NLw09EwE0CqkOc4q9oUmW1yo/edit?usp=sharing"",""กำแพงเพชร!M430"")"),29825)</f>
        <v>29825</v>
      </c>
      <c r="O535" s="168">
        <f t="shared" ca="1" si="118"/>
        <v>86.826783114992722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IFERROR(__xludf.DUMMYFUNCTION("IMPORTRANGE(""https://docs.google.com/spreadsheets/d/11923uPwbBZFjjGgGUA6NLw09EwE0CqkOc4q9oUmW1yo/edit?usp=sharing"",""กำแพงเพชร!L431"")"),0)</f>
        <v>0</v>
      </c>
      <c r="M536" s="168"/>
      <c r="N536" s="168">
        <f ca="1">IFERROR(__xludf.DUMMYFUNCTION("IMPORTRANGE(""https://docs.google.com/spreadsheets/d/11923uPwbBZFjjGgGUA6NLw09EwE0CqkOc4q9oUmW1yo/edit?usp=sharing"",""กำแพงเพชร!M431"")"),0)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IFERROR(__xludf.DUMMYFUNCTION("IMPORTRANGE(""https://docs.google.com/spreadsheets/d/11923uPwbBZFjjGgGUA6NLw09EwE0CqkOc4q9oUmW1yo/edit?usp=sharing"",""กำแพงเพชร!L432"")"),34350)</f>
        <v>34350</v>
      </c>
      <c r="M537" s="168"/>
      <c r="N537" s="168">
        <f ca="1">IFERROR(__xludf.DUMMYFUNCTION("IMPORTRANGE(""https://docs.google.com/spreadsheets/d/11923uPwbBZFjjGgGUA6NLw09EwE0CqkOc4q9oUmW1yo/edit?usp=sharing"",""กำแพงเพชร!M432"")"),29825)</f>
        <v>29825</v>
      </c>
      <c r="O537" s="168">
        <f t="shared" ca="1" si="118"/>
        <v>86.826783114992722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IFERROR(__xludf.DUMMYFUNCTION("IMPORTRANGE(""https://docs.google.com/spreadsheets/d/11923uPwbBZFjjGgGUA6NLw09EwE0CqkOc4q9oUmW1yo/edit?usp=sharing"",""กำแพงเพชร!M433"")"),20160)</f>
        <v>20160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IFERROR(__xludf.DUMMYFUNCTION("IMPORTRANGE(""https://docs.google.com/spreadsheets/d/11923uPwbBZFjjGgGUA6NLw09EwE0CqkOc4q9oUmW1yo/edit?usp=sharing"",""กำแพงเพชร!M434"")"),0)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IFERROR(__xludf.DUMMYFUNCTION("IMPORTRANGE(""https://docs.google.com/spreadsheets/d/11923uPwbBZFjjGgGUA6NLw09EwE0CqkOc4q9oUmW1yo/edit?usp=sharing"",""กำแพงเพชร!M435"")"),0)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IFERROR(__xludf.DUMMYFUNCTION("IMPORTRANGE(""https://docs.google.com/spreadsheets/d/11923uPwbBZFjjGgGUA6NLw09EwE0CqkOc4q9oUmW1yo/edit?usp=sharing"",""กำแพงเพชร!M436"")"),9665)</f>
        <v>9665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IFERROR(__xludf.DUMMYFUNCTION("IMPORTRANGE(""https://docs.google.com/spreadsheets/d/11923uPwbBZFjjGgGUA6NLw09EwE0CqkOc4q9oUmW1yo/edit?usp=sharing"",""กำแพงเพชร!J438"")"),0)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IFERROR(__xludf.DUMMYFUNCTION("IMPORTRANGE(""https://docs.google.com/spreadsheets/d/11923uPwbBZFjjGgGUA6NLw09EwE0CqkOc4q9oUmW1yo/edit?usp=sharing"",""กำแพงเพชร!J439"")"),1)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IFERROR(__xludf.DUMMYFUNCTION("IMPORTRANGE(""https://docs.google.com/spreadsheets/d/11923uPwbBZFjjGgGUA6NLw09EwE0CqkOc4q9oUmW1yo/edit?usp=sharing"",""กำแพงเพชร!J440"")"),1)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IFERROR(__xludf.DUMMYFUNCTION("IMPORTRANGE(""https://docs.google.com/spreadsheets/d/11923uPwbBZFjjGgGUA6NLw09EwE0CqkOc4q9oUmW1yo/edit?usp=sharing"",""กำแพงเพชร!J441"")"),1)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IFERROR(__xludf.DUMMYFUNCTION("IMPORTRANGE(""https://docs.google.com/spreadsheets/d/11923uPwbBZFjjGgGUA6NLw09EwE0CqkOc4q9oUmW1yo/edit?usp=sharing"",""กำแพงเพชร!I442"")"),22)</f>
        <v>22</v>
      </c>
      <c r="J547" s="188">
        <f ca="1">IFERROR(__xludf.DUMMYFUNCTION("IMPORTRANGE(""https://docs.google.com/spreadsheets/d/11923uPwbBZFjjGgGUA6NLw09EwE0CqkOc4q9oUmW1yo/edit?usp=sharing"",""กำแพงเพชร!J442"")"),22)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IFERROR(__xludf.DUMMYFUNCTION("IMPORTRANGE(""https://docs.google.com/spreadsheets/d/11923uPwbBZFjjGgGUA6NLw09EwE0CqkOc4q9oUmW1yo/edit?usp=sharing"",""กำแพงเพชร!J166"")"),0)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IFERROR(__xludf.DUMMYFUNCTION("IMPORTRANGE(""https://docs.google.com/spreadsheets/d/11923uPwbBZFjjGgGUA6NLw09EwE0CqkOc4q9oUmW1yo/edit?usp=sharing"",""กำแพงเพชร!J444"")"),0)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IFERROR(__xludf.DUMMYFUNCTION("IMPORTRANGE(""https://docs.google.com/spreadsheets/d/11923uPwbBZFjjGgGUA6NLw09EwE0CqkOc4q9oUmW1yo/edit?usp=sharing"",""กำแพงเพชร!J445"")"),0)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IFERROR(__xludf.DUMMYFUNCTION("IMPORTRANGE(""https://docs.google.com/spreadsheets/d/11923uPwbBZFjjGgGUA6NLw09EwE0CqkOc4q9oUmW1yo/edit?usp=sharing"",""กำแพงเพชร!I446"")"),5000)</f>
        <v>5000</v>
      </c>
      <c r="J551" s="409">
        <f ca="1">IFERROR(__xludf.DUMMYFUNCTION("IMPORTRANGE(""https://docs.google.com/spreadsheets/d/11923uPwbBZFjjGgGUA6NLw09EwE0CqkOc4q9oUmW1yo/edit?usp=sharing"",""กำแพงเพชร!J446"")"),3706)</f>
        <v>3706</v>
      </c>
      <c r="K551" s="410">
        <f ca="1">IF(I551&gt;0,J551*100/I551,0)</f>
        <v>74.12</v>
      </c>
      <c r="L551" s="411">
        <f ca="1">IFERROR(__xludf.DUMMYFUNCTION("IMPORTRANGE(""https://docs.google.com/spreadsheets/d/11923uPwbBZFjjGgGUA6NLw09EwE0CqkOc4q9oUmW1yo/edit?usp=sharing"",""กำแพงเพชร!L446"")"),320000)</f>
        <v>320000</v>
      </c>
      <c r="M551" s="411"/>
      <c r="N551" s="411">
        <f ca="1">IFERROR(__xludf.DUMMYFUNCTION("IMPORTRANGE(""https://docs.google.com/spreadsheets/d/11923uPwbBZFjjGgGUA6NLw09EwE0CqkOc4q9oUmW1yo/edit?usp=sharing"",""กำแพงเพชร!M446"")"),118260.65)</f>
        <v>118260.65</v>
      </c>
      <c r="O551" s="411">
        <f t="shared" ref="O551:O555" ca="1" si="120">+IF(L551&gt;0,N551*100/L551,0)</f>
        <v>36.956453125000003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IFERROR(__xludf.DUMMYFUNCTION("IMPORTRANGE(""https://docs.google.com/spreadsheets/d/11923uPwbBZFjjGgGUA6NLw09EwE0CqkOc4q9oUmW1yo/edit?usp=sharing"",""กำแพงเพชร!L447"")"),0)</f>
        <v>0</v>
      </c>
      <c r="M552" s="164"/>
      <c r="N552" s="168">
        <f ca="1">IFERROR(__xludf.DUMMYFUNCTION("IMPORTRANGE(""https://docs.google.com/spreadsheets/d/11923uPwbBZFjjGgGUA6NLw09EwE0CqkOc4q9oUmW1yo/edit?usp=sharing"",""กำแพงเพชร!M447"")"),0)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IFERROR(__xludf.DUMMYFUNCTION("IMPORTRANGE(""https://docs.google.com/spreadsheets/d/11923uPwbBZFjjGgGUA6NLw09EwE0CqkOc4q9oUmW1yo/edit?usp=sharing"",""กำแพงเพชร!L448"")"),320000)</f>
        <v>320000</v>
      </c>
      <c r="M553" s="165"/>
      <c r="N553" s="168">
        <f ca="1">IFERROR(__xludf.DUMMYFUNCTION("IMPORTRANGE(""https://docs.google.com/spreadsheets/d/11923uPwbBZFjjGgGUA6NLw09EwE0CqkOc4q9oUmW1yo/edit?usp=sharing"",""กำแพงเพชร!M448"")"),118260.65)</f>
        <v>118260.65</v>
      </c>
      <c r="O553" s="168">
        <f t="shared" ca="1" si="120"/>
        <v>36.956453125000003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IFERROR(__xludf.DUMMYFUNCTION("IMPORTRANGE(""https://docs.google.com/spreadsheets/d/11923uPwbBZFjjGgGUA6NLw09EwE0CqkOc4q9oUmW1yo/edit?usp=sharing"",""กำแพงเพชร!L449"")"),0)</f>
        <v>0</v>
      </c>
      <c r="M554" s="168"/>
      <c r="N554" s="168">
        <f ca="1">IFERROR(__xludf.DUMMYFUNCTION("IMPORTRANGE(""https://docs.google.com/spreadsheets/d/11923uPwbBZFjjGgGUA6NLw09EwE0CqkOc4q9oUmW1yo/edit?usp=sharing"",""กำแพงเพชร!M449"")"),0)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IFERROR(__xludf.DUMMYFUNCTION("IMPORTRANGE(""https://docs.google.com/spreadsheets/d/11923uPwbBZFjjGgGUA6NLw09EwE0CqkOc4q9oUmW1yo/edit?usp=sharing"",""กำแพงเพชร!L450"")"),320000)</f>
        <v>320000</v>
      </c>
      <c r="M555" s="168"/>
      <c r="N555" s="168">
        <f ca="1">IFERROR(__xludf.DUMMYFUNCTION("IMPORTRANGE(""https://docs.google.com/spreadsheets/d/11923uPwbBZFjjGgGUA6NLw09EwE0CqkOc4q9oUmW1yo/edit?usp=sharing"",""กำแพงเพชร!M450"")"),118260.65)</f>
        <v>118260.65</v>
      </c>
      <c r="O555" s="168">
        <f t="shared" ca="1" si="120"/>
        <v>36.956453125000003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IFERROR(__xludf.DUMMYFUNCTION("IMPORTRANGE(""https://docs.google.com/spreadsheets/d/11923uPwbBZFjjGgGUA6NLw09EwE0CqkOc4q9oUmW1yo/edit?usp=sharing"",""กำแพงเพชร!M451"")"),0)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IFERROR(__xludf.DUMMYFUNCTION("IMPORTRANGE(""https://docs.google.com/spreadsheets/d/11923uPwbBZFjjGgGUA6NLw09EwE0CqkOc4q9oUmW1yo/edit?usp=sharing"",""กำแพงเพชร!M452"")"),0)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IFERROR(__xludf.DUMMYFUNCTION("IMPORTRANGE(""https://docs.google.com/spreadsheets/d/11923uPwbBZFjjGgGUA6NLw09EwE0CqkOc4q9oUmW1yo/edit?usp=sharing"",""กำแพงเพชร!M453"")"),26400)</f>
        <v>26400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IFERROR(__xludf.DUMMYFUNCTION("IMPORTRANGE(""https://docs.google.com/spreadsheets/d/11923uPwbBZFjjGgGUA6NLw09EwE0CqkOc4q9oUmW1yo/edit?usp=sharing"",""กำแพงเพชร!M454"")"),91860.65)</f>
        <v>91860.65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IFERROR(__xludf.DUMMYFUNCTION("IMPORTRANGE(""https://docs.google.com/spreadsheets/d/11923uPwbBZFjjGgGUA6NLw09EwE0CqkOc4q9oUmW1yo/edit?usp=sharing"",""กำแพงเพชร!I455"")"),5000)</f>
        <v>5000</v>
      </c>
      <c r="J560" s="162">
        <f ca="1">IFERROR(__xludf.DUMMYFUNCTION("IMPORTRANGE(""https://docs.google.com/spreadsheets/d/11923uPwbBZFjjGgGUA6NLw09EwE0CqkOc4q9oUmW1yo/edit?usp=sharing"",""กำแพงเพชร!J455"")"),3706)</f>
        <v>3706</v>
      </c>
      <c r="K560" s="224">
        <f t="shared" ref="K560:K561" ca="1" si="121">IF(I560&gt;0,J560*100/I560,0)</f>
        <v>74.12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IFERROR(__xludf.DUMMYFUNCTION("IMPORTRANGE(""https://docs.google.com/spreadsheets/d/11923uPwbBZFjjGgGUA6NLw09EwE0CqkOc4q9oUmW1yo/edit?usp=sharing"",""กำแพงเพชร!I456"")"),0)</f>
        <v>0</v>
      </c>
      <c r="J561" s="203">
        <f ca="1">IFERROR(__xludf.DUMMYFUNCTION("IMPORTRANGE(""https://docs.google.com/spreadsheets/d/11923uPwbBZFjjGgGUA6NLw09EwE0CqkOc4q9oUmW1yo/edit?usp=sharing"",""กำแพงเพชร!J456"")"),260)</f>
        <v>260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IFERROR(__xludf.DUMMYFUNCTION("IMPORTRANGE(""https://docs.google.com/spreadsheets/d/11923uPwbBZFjjGgGUA6NLw09EwE0CqkOc4q9oUmW1yo/edit?usp=sharing"",""กำแพงเพชร!I459"")"),4900)</f>
        <v>4900</v>
      </c>
      <c r="J564" s="370">
        <f ca="1">IFERROR(__xludf.DUMMYFUNCTION("IMPORTRANGE(""https://docs.google.com/spreadsheets/d/11923uPwbBZFjjGgGUA6NLw09EwE0CqkOc4q9oUmW1yo/edit?usp=sharing"",""กำแพงเพชร!J459"")"),7994)</f>
        <v>7994</v>
      </c>
      <c r="K564" s="371">
        <f ca="1">IF(I564&gt;0,J564*100/I564,0)</f>
        <v>163.14285714285714</v>
      </c>
      <c r="L564" s="372">
        <f ca="1">IFERROR(__xludf.DUMMYFUNCTION("IMPORTRANGE(""https://docs.google.com/spreadsheets/d/11923uPwbBZFjjGgGUA6NLw09EwE0CqkOc4q9oUmW1yo/edit?usp=sharing"",""กำแพงเพชร!L459"")"),168000)</f>
        <v>168000</v>
      </c>
      <c r="M564" s="372"/>
      <c r="N564" s="372">
        <f ca="1">IFERROR(__xludf.DUMMYFUNCTION("IMPORTRANGE(""https://docs.google.com/spreadsheets/d/11923uPwbBZFjjGgGUA6NLw09EwE0CqkOc4q9oUmW1yo/edit?usp=sharing"",""กำแพงเพชร!M459"")"),52964.13)</f>
        <v>52964.13</v>
      </c>
      <c r="O564" s="372">
        <f t="shared" ref="O564:O568" ca="1" si="122">+IF(L564&gt;0,N564*100/L564,0)</f>
        <v>31.526267857142859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IFERROR(__xludf.DUMMYFUNCTION("IMPORTRANGE(""https://docs.google.com/spreadsheets/d/11923uPwbBZFjjGgGUA6NLw09EwE0CqkOc4q9oUmW1yo/edit?usp=sharing"",""กำแพงเพชร!L460"")"),0)</f>
        <v>0</v>
      </c>
      <c r="M565" s="164"/>
      <c r="N565" s="168">
        <f ca="1">IFERROR(__xludf.DUMMYFUNCTION("IMPORTRANGE(""https://docs.google.com/spreadsheets/d/11923uPwbBZFjjGgGUA6NLw09EwE0CqkOc4q9oUmW1yo/edit?usp=sharing"",""กำแพงเพชร!M460"")"),0)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IFERROR(__xludf.DUMMYFUNCTION("IMPORTRANGE(""https://docs.google.com/spreadsheets/d/11923uPwbBZFjjGgGUA6NLw09EwE0CqkOc4q9oUmW1yo/edit?usp=sharing"",""กำแพงเพชร!L461"")"),168000)</f>
        <v>168000</v>
      </c>
      <c r="M566" s="165"/>
      <c r="N566" s="168">
        <f ca="1">IFERROR(__xludf.DUMMYFUNCTION("IMPORTRANGE(""https://docs.google.com/spreadsheets/d/11923uPwbBZFjjGgGUA6NLw09EwE0CqkOc4q9oUmW1yo/edit?usp=sharing"",""กำแพงเพชร!M461"")"),52964.13)</f>
        <v>52964.13</v>
      </c>
      <c r="O566" s="168">
        <f t="shared" ca="1" si="122"/>
        <v>31.526267857142859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IFERROR(__xludf.DUMMYFUNCTION("IMPORTRANGE(""https://docs.google.com/spreadsheets/d/11923uPwbBZFjjGgGUA6NLw09EwE0CqkOc4q9oUmW1yo/edit?usp=sharing"",""กำแพงเพชร!L462"")"),0)</f>
        <v>0</v>
      </c>
      <c r="M567" s="168"/>
      <c r="N567" s="168">
        <f ca="1">IFERROR(__xludf.DUMMYFUNCTION("IMPORTRANGE(""https://docs.google.com/spreadsheets/d/11923uPwbBZFjjGgGUA6NLw09EwE0CqkOc4q9oUmW1yo/edit?usp=sharing"",""กำแพงเพชร!M462"")"),0)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IFERROR(__xludf.DUMMYFUNCTION("IMPORTRANGE(""https://docs.google.com/spreadsheets/d/11923uPwbBZFjjGgGUA6NLw09EwE0CqkOc4q9oUmW1yo/edit?usp=sharing"",""กำแพงเพชร!L463"")"),168000)</f>
        <v>168000</v>
      </c>
      <c r="M568" s="168"/>
      <c r="N568" s="168">
        <f ca="1">IFERROR(__xludf.DUMMYFUNCTION("IMPORTRANGE(""https://docs.google.com/spreadsheets/d/11923uPwbBZFjjGgGUA6NLw09EwE0CqkOc4q9oUmW1yo/edit?usp=sharing"",""กำแพงเพชร!M463"")"),52964.13)</f>
        <v>52964.13</v>
      </c>
      <c r="O568" s="168">
        <f t="shared" ca="1" si="122"/>
        <v>31.526267857142859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IFERROR(__xludf.DUMMYFUNCTION("IMPORTRANGE(""https://docs.google.com/spreadsheets/d/11923uPwbBZFjjGgGUA6NLw09EwE0CqkOc4q9oUmW1yo/edit?usp=sharing"",""กำแพงเพชร!M464"")"),0)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IFERROR(__xludf.DUMMYFUNCTION("IMPORTRANGE(""https://docs.google.com/spreadsheets/d/11923uPwbBZFjjGgGUA6NLw09EwE0CqkOc4q9oUmW1yo/edit?usp=sharing"",""กำแพงเพชร!M465"")"),0)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IFERROR(__xludf.DUMMYFUNCTION("IMPORTRANGE(""https://docs.google.com/spreadsheets/d/11923uPwbBZFjjGgGUA6NLw09EwE0CqkOc4q9oUmW1yo/edit?usp=sharing"",""กำแพงเพชร!M466"")"),40000)</f>
        <v>40000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IFERROR(__xludf.DUMMYFUNCTION("IMPORTRANGE(""https://docs.google.com/spreadsheets/d/11923uPwbBZFjjGgGUA6NLw09EwE0CqkOc4q9oUmW1yo/edit?usp=sharing"",""กำแพงเพชร!M467"")"),12964.13)</f>
        <v>12964.13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IFERROR(__xludf.DUMMYFUNCTION("IMPORTRANGE(""https://docs.google.com/spreadsheets/d/11923uPwbBZFjjGgGUA6NLw09EwE0CqkOc4q9oUmW1yo/edit?usp=sharing"",""กำแพงเพชร!I468"")"),4900)</f>
        <v>4900</v>
      </c>
      <c r="J573" s="420">
        <f ca="1">IFERROR(__xludf.DUMMYFUNCTION("IMPORTRANGE(""https://docs.google.com/spreadsheets/d/11923uPwbBZFjjGgGUA6NLw09EwE0CqkOc4q9oUmW1yo/edit?usp=sharing"",""กำแพงเพชร!J468"")"),7994)</f>
        <v>7994</v>
      </c>
      <c r="K573" s="201">
        <f ca="1">IF(I573&gt;0,J573*100/I573,0)</f>
        <v>163.14285714285714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IFERROR(__xludf.DUMMYFUNCTION("IMPORTRANGE(""https://docs.google.com/spreadsheets/d/11923uPwbBZFjjGgGUA6NLw09EwE0CqkOc4q9oUmW1yo/edit?usp=sharing"",""กำแพงเพชร!I470"")"),0)</f>
        <v>0</v>
      </c>
      <c r="J575" s="197">
        <f ca="1">IFERROR(__xludf.DUMMYFUNCTION("IMPORTRANGE(""https://docs.google.com/spreadsheets/d/11923uPwbBZFjjGgGUA6NLw09EwE0CqkOc4q9oUmW1yo/edit?usp=sharing"",""กำแพงเพชร!J470"")"),4)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IFERROR(__xludf.DUMMYFUNCTION("IMPORTRANGE(""https://docs.google.com/spreadsheets/d/11923uPwbBZFjjGgGUA6NLw09EwE0CqkOc4q9oUmW1yo/edit?usp=sharing"",""กำแพงเพชร!I471"")"),0)</f>
        <v>0</v>
      </c>
      <c r="J576" s="197">
        <f ca="1">IFERROR(__xludf.DUMMYFUNCTION("IMPORTRANGE(""https://docs.google.com/spreadsheets/d/11923uPwbBZFjjGgGUA6NLw09EwE0CqkOc4q9oUmW1yo/edit?usp=sharing"",""กำแพงเพชร!J471"")"),94)</f>
        <v>94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IFERROR(__xludf.DUMMYFUNCTION("IMPORTRANGE(""https://docs.google.com/spreadsheets/d/11923uPwbBZFjjGgGUA6NLw09EwE0CqkOc4q9oUmW1yo/edit?usp=sharing"",""กำแพงเพชร!I472"")"),0)</f>
        <v>0</v>
      </c>
      <c r="J577" s="188">
        <f ca="1">IFERROR(__xludf.DUMMYFUNCTION("IMPORTRANGE(""https://docs.google.com/spreadsheets/d/11923uPwbBZFjjGgGUA6NLw09EwE0CqkOc4q9oUmW1yo/edit?usp=sharing"",""กำแพงเพชร!J472"")"),7900)</f>
        <v>7900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IFERROR(__xludf.DUMMYFUNCTION("IMPORTRANGE(""https://docs.google.com/spreadsheets/d/11923uPwbBZFjjGgGUA6NLw09EwE0CqkOc4q9oUmW1yo/edit?usp=sharing"",""กำแพงเพชร!I473"")"),0)</f>
        <v>0</v>
      </c>
      <c r="J578" s="197">
        <f ca="1">IFERROR(__xludf.DUMMYFUNCTION("IMPORTRANGE(""https://docs.google.com/spreadsheets/d/11923uPwbBZFjjGgGUA6NLw09EwE0CqkOc4q9oUmW1yo/edit?usp=sharing"",""กำแพงเพชร!J473"")"),0)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IFERROR(__xludf.DUMMYFUNCTION("IMPORTRANGE(""https://docs.google.com/spreadsheets/d/11923uPwbBZFjjGgGUA6NLw09EwE0CqkOc4q9oUmW1yo/edit?usp=sharing"",""กำแพงเพชร!I474"")"),0)</f>
        <v>0</v>
      </c>
      <c r="J579" s="197">
        <f ca="1">IFERROR(__xludf.DUMMYFUNCTION("IMPORTRANGE(""https://docs.google.com/spreadsheets/d/11923uPwbBZFjjGgGUA6NLw09EwE0CqkOc4q9oUmW1yo/edit?usp=sharing"",""กำแพงเพชร!J474"")"),0)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IFERROR(__xludf.DUMMYFUNCTION("IMPORTRANGE(""https://docs.google.com/spreadsheets/d/11923uPwbBZFjjGgGUA6NLw09EwE0CqkOc4q9oUmW1yo/edit?usp=sharing"",""กำแพงเพชร!I475"")"),500)</f>
        <v>500</v>
      </c>
      <c r="J580" s="370">
        <f ca="1">IFERROR(__xludf.DUMMYFUNCTION("IMPORTRANGE(""https://docs.google.com/spreadsheets/d/11923uPwbBZFjjGgGUA6NLw09EwE0CqkOc4q9oUmW1yo/edit?usp=sharing"",""กำแพงเพชร!J475"")"),0)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IFERROR(__xludf.DUMMYFUNCTION("IMPORTRANGE(""https://docs.google.com/spreadsheets/d/11923uPwbBZFjjGgGUA6NLw09EwE0CqkOc4q9oUmW1yo/edit?usp=sharing"",""กำแพงเพชร!L475"")"),395350)</f>
        <v>395350</v>
      </c>
      <c r="M580" s="372"/>
      <c r="N580" s="372">
        <f ca="1">IFERROR(__xludf.DUMMYFUNCTION("IMPORTRANGE(""https://docs.google.com/spreadsheets/d/11923uPwbBZFjjGgGUA6NLw09EwE0CqkOc4q9oUmW1yo/edit?usp=sharing"",""กำแพงเพชร!M475"")"),0)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IFERROR(__xludf.DUMMYFUNCTION("IMPORTRANGE(""https://docs.google.com/spreadsheets/d/11923uPwbBZFjjGgGUA6NLw09EwE0CqkOc4q9oUmW1yo/edit?usp=sharing"",""กำแพงเพชร!L476"")"),0)</f>
        <v>0</v>
      </c>
      <c r="M581" s="164"/>
      <c r="N581" s="168">
        <f ca="1">IFERROR(__xludf.DUMMYFUNCTION("IMPORTRANGE(""https://docs.google.com/spreadsheets/d/11923uPwbBZFjjGgGUA6NLw09EwE0CqkOc4q9oUmW1yo/edit?usp=sharing"",""กำแพงเพชร!M476"")"),0)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IFERROR(__xludf.DUMMYFUNCTION("IMPORTRANGE(""https://docs.google.com/spreadsheets/d/11923uPwbBZFjjGgGUA6NLw09EwE0CqkOc4q9oUmW1yo/edit?usp=sharing"",""กำแพงเพชร!L477"")"),395350)</f>
        <v>395350</v>
      </c>
      <c r="M582" s="165"/>
      <c r="N582" s="168">
        <f ca="1">IFERROR(__xludf.DUMMYFUNCTION("IMPORTRANGE(""https://docs.google.com/spreadsheets/d/11923uPwbBZFjjGgGUA6NLw09EwE0CqkOc4q9oUmW1yo/edit?usp=sharing"",""กำแพงเพชร!M477"")"),0)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IFERROR(__xludf.DUMMYFUNCTION("IMPORTRANGE(""https://docs.google.com/spreadsheets/d/11923uPwbBZFjjGgGUA6NLw09EwE0CqkOc4q9oUmW1yo/edit?usp=sharing"",""กำแพงเพชร!L478"")"),0)</f>
        <v>0</v>
      </c>
      <c r="M583" s="168"/>
      <c r="N583" s="168">
        <f ca="1">IFERROR(__xludf.DUMMYFUNCTION("IMPORTRANGE(""https://docs.google.com/spreadsheets/d/11923uPwbBZFjjGgGUA6NLw09EwE0CqkOc4q9oUmW1yo/edit?usp=sharing"",""กำแพงเพชร!M478"")"),0)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IFERROR(__xludf.DUMMYFUNCTION("IMPORTRANGE(""https://docs.google.com/spreadsheets/d/11923uPwbBZFjjGgGUA6NLw09EwE0CqkOc4q9oUmW1yo/edit?usp=sharing"",""กำแพงเพชร!L479"")"),395350)</f>
        <v>395350</v>
      </c>
      <c r="M584" s="168"/>
      <c r="N584" s="168">
        <f ca="1">IFERROR(__xludf.DUMMYFUNCTION("IMPORTRANGE(""https://docs.google.com/spreadsheets/d/11923uPwbBZFjjGgGUA6NLw09EwE0CqkOc4q9oUmW1yo/edit?usp=sharing"",""กำแพงเพชร!M479"")"),0)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IFERROR(__xludf.DUMMYFUNCTION("IMPORTRANGE(""https://docs.google.com/spreadsheets/d/11923uPwbBZFjjGgGUA6NLw09EwE0CqkOc4q9oUmW1yo/edit?usp=sharing"",""กำแพงเพชร!M480"")"),0)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IFERROR(__xludf.DUMMYFUNCTION("IMPORTRANGE(""https://docs.google.com/spreadsheets/d/11923uPwbBZFjjGgGUA6NLw09EwE0CqkOc4q9oUmW1yo/edit?usp=sharing"",""กำแพงเพชร!M481"")"),0)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IFERROR(__xludf.DUMMYFUNCTION("IMPORTRANGE(""https://docs.google.com/spreadsheets/d/11923uPwbBZFjjGgGUA6NLw09EwE0CqkOc4q9oUmW1yo/edit?usp=sharing"",""กำแพงเพชร!M482"")"),0)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IFERROR(__xludf.DUMMYFUNCTION("IMPORTRANGE(""https://docs.google.com/spreadsheets/d/11923uPwbBZFjjGgGUA6NLw09EwE0CqkOc4q9oUmW1yo/edit?usp=sharing"",""กำแพงเพชร!M483"")"),0)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IFERROR(__xludf.DUMMYFUNCTION("IMPORTRANGE(""https://docs.google.com/spreadsheets/d/11923uPwbBZFjjGgGUA6NLw09EwE0CqkOc4q9oUmW1yo/edit?usp=sharing"",""กำแพงเพชร!I484"")"),500)</f>
        <v>500</v>
      </c>
      <c r="J589" s="187">
        <f ca="1">IFERROR(__xludf.DUMMYFUNCTION("IMPORTRANGE(""https://docs.google.com/spreadsheets/d/11923uPwbBZFjjGgGUA6NLw09EwE0CqkOc4q9oUmW1yo/edit?usp=sharing"",""กำแพงเพชร!J484"")"),26)</f>
        <v>26</v>
      </c>
      <c r="K589" s="163">
        <f t="shared" ref="K589:K596" ca="1" si="125">IF(I589&gt;0,J589*100/I589,0)</f>
        <v>5.2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IFERROR(__xludf.DUMMYFUNCTION("IMPORTRANGE(""https://docs.google.com/spreadsheets/d/11923uPwbBZFjjGgGUA6NLw09EwE0CqkOc4q9oUmW1yo/edit?usp=sharing"",""กำแพงเพชร!I485"")"),0)</f>
        <v>0</v>
      </c>
      <c r="J590" s="187">
        <f ca="1">IFERROR(__xludf.DUMMYFUNCTION("IMPORTRANGE(""https://docs.google.com/spreadsheets/d/11923uPwbBZFjjGgGUA6NLw09EwE0CqkOc4q9oUmW1yo/edit?usp=sharing"",""กำแพงเพชร!J485"")"),34.53)</f>
        <v>34.53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IFERROR(__xludf.DUMMYFUNCTION("IMPORTRANGE(""https://docs.google.com/spreadsheets/d/11923uPwbBZFjjGgGUA6NLw09EwE0CqkOc4q9oUmW1yo/edit?usp=sharing"",""กำแพงเพชร!I486"")"),500)</f>
        <v>500</v>
      </c>
      <c r="J591" s="187">
        <f ca="1">IFERROR(__xludf.DUMMYFUNCTION("IMPORTRANGE(""https://docs.google.com/spreadsheets/d/11923uPwbBZFjjGgGUA6NLw09EwE0CqkOc4q9oUmW1yo/edit?usp=sharing"",""กำแพงเพชร!J486"")"),0)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IFERROR(__xludf.DUMMYFUNCTION("IMPORTRANGE(""https://docs.google.com/spreadsheets/d/11923uPwbBZFjjGgGUA6NLw09EwE0CqkOc4q9oUmW1yo/edit?usp=sharing"",""กำแพงเพชร!I487"")"),0)</f>
        <v>0</v>
      </c>
      <c r="J592" s="187">
        <f ca="1">IFERROR(__xludf.DUMMYFUNCTION("IMPORTRANGE(""https://docs.google.com/spreadsheets/d/11923uPwbBZFjjGgGUA6NLw09EwE0CqkOc4q9oUmW1yo/edit?usp=sharing"",""กำแพงเพชร!J487"")"),0)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IFERROR(__xludf.DUMMYFUNCTION("IMPORTRANGE(""https://docs.google.com/spreadsheets/d/11923uPwbBZFjjGgGUA6NLw09EwE0CqkOc4q9oUmW1yo/edit?usp=sharing"",""กำแพงเพชร!I488"")"),500)</f>
        <v>500</v>
      </c>
      <c r="J593" s="187">
        <f ca="1">IFERROR(__xludf.DUMMYFUNCTION("IMPORTRANGE(""https://docs.google.com/spreadsheets/d/11923uPwbBZFjjGgGUA6NLw09EwE0CqkOc4q9oUmW1yo/edit?usp=sharing"",""กำแพงเพชร!J488"")"),0)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IFERROR(__xludf.DUMMYFUNCTION("IMPORTRANGE(""https://docs.google.com/spreadsheets/d/11923uPwbBZFjjGgGUA6NLw09EwE0CqkOc4q9oUmW1yo/edit?usp=sharing"",""กำแพงเพชร!I489"")"),0)</f>
        <v>0</v>
      </c>
      <c r="J594" s="187">
        <f ca="1">IFERROR(__xludf.DUMMYFUNCTION("IMPORTRANGE(""https://docs.google.com/spreadsheets/d/11923uPwbBZFjjGgGUA6NLw09EwE0CqkOc4q9oUmW1yo/edit?usp=sharing"",""กำแพงเพชร!J489"")"),0)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IFERROR(__xludf.DUMMYFUNCTION("IMPORTRANGE(""https://docs.google.com/spreadsheets/d/11923uPwbBZFjjGgGUA6NLw09EwE0CqkOc4q9oUmW1yo/edit?usp=sharing"",""กำแพงเพชร!I490"")"),500)</f>
        <v>500</v>
      </c>
      <c r="J595" s="187">
        <f ca="1">IFERROR(__xludf.DUMMYFUNCTION("IMPORTRANGE(""https://docs.google.com/spreadsheets/d/11923uPwbBZFjjGgGUA6NLw09EwE0CqkOc4q9oUmW1yo/edit?usp=sharing"",""กำแพงเพชร!J490"")"),0)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IFERROR(__xludf.DUMMYFUNCTION("IMPORTRANGE(""https://docs.google.com/spreadsheets/d/11923uPwbBZFjjGgGUA6NLw09EwE0CqkOc4q9oUmW1yo/edit?usp=sharing"",""กำแพงเพชร!I491"")"),0)</f>
        <v>0</v>
      </c>
      <c r="J596" s="241">
        <f ca="1">IFERROR(__xludf.DUMMYFUNCTION("IMPORTRANGE(""https://docs.google.com/spreadsheets/d/11923uPwbBZFjjGgGUA6NLw09EwE0CqkOc4q9oUmW1yo/edit?usp=sharing"",""กำแพงเพชร!J491"")"),0)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IFERROR(__xludf.DUMMYFUNCTION("IMPORTRANGE(""https://docs.google.com/spreadsheets/d/11923uPwbBZFjjGgGUA6NLw09EwE0CqkOc4q9oUmW1yo/edit?usp=sharing"",""กำแพงเพชร!I492"")"),100)</f>
        <v>100</v>
      </c>
      <c r="J597" s="487">
        <f ca="1">IFERROR(__xludf.DUMMYFUNCTION("IMPORTRANGE(""https://docs.google.com/spreadsheets/d/11923uPwbBZFjjGgGUA6NLw09EwE0CqkOc4q9oUmW1yo/edit?usp=sharing"",""กำแพงเพชร!J492"")"),0)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IFERROR(__xludf.DUMMYFUNCTION("IMPORTRANGE(""https://docs.google.com/spreadsheets/d/11923uPwbBZFjjGgGUA6NLw09EwE0CqkOc4q9oUmW1yo/edit?usp=sharing"",""กำแพงเพชร!L492"")"),8900)</f>
        <v>8900</v>
      </c>
      <c r="M597" s="411"/>
      <c r="N597" s="411">
        <f ca="1">IFERROR(__xludf.DUMMYFUNCTION("IMPORTRANGE(""https://docs.google.com/spreadsheets/d/11923uPwbBZFjjGgGUA6NLw09EwE0CqkOc4q9oUmW1yo/edit?usp=sharing"",""กำแพงเพชร!M492"")"),1200)</f>
        <v>1200</v>
      </c>
      <c r="O597" s="411">
        <f t="shared" ref="O597:O601" ca="1" si="126">+IF(L597&gt;0,N597*100/L597,0)</f>
        <v>13.48314606741573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IFERROR(__xludf.DUMMYFUNCTION("IMPORTRANGE(""https://docs.google.com/spreadsheets/d/11923uPwbBZFjjGgGUA6NLw09EwE0CqkOc4q9oUmW1yo/edit?usp=sharing"",""กำแพงเพชร!L493"")"),0)</f>
        <v>0</v>
      </c>
      <c r="M598" s="164"/>
      <c r="N598" s="168">
        <f ca="1">IFERROR(__xludf.DUMMYFUNCTION("IMPORTRANGE(""https://docs.google.com/spreadsheets/d/11923uPwbBZFjjGgGUA6NLw09EwE0CqkOc4q9oUmW1yo/edit?usp=sharing"",""กำแพงเพชร!M493"")"),0)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IFERROR(__xludf.DUMMYFUNCTION("IMPORTRANGE(""https://docs.google.com/spreadsheets/d/11923uPwbBZFjjGgGUA6NLw09EwE0CqkOc4q9oUmW1yo/edit?usp=sharing"",""กำแพงเพชร!L494"")"),8900)</f>
        <v>8900</v>
      </c>
      <c r="M599" s="165"/>
      <c r="N599" s="168">
        <f ca="1">IFERROR(__xludf.DUMMYFUNCTION("IMPORTRANGE(""https://docs.google.com/spreadsheets/d/11923uPwbBZFjjGgGUA6NLw09EwE0CqkOc4q9oUmW1yo/edit?usp=sharing"",""กำแพงเพชร!M494"")"),1200)</f>
        <v>1200</v>
      </c>
      <c r="O599" s="168">
        <f t="shared" ca="1" si="126"/>
        <v>13.48314606741573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IFERROR(__xludf.DUMMYFUNCTION("IMPORTRANGE(""https://docs.google.com/spreadsheets/d/11923uPwbBZFjjGgGUA6NLw09EwE0CqkOc4q9oUmW1yo/edit?usp=sharing"",""กำแพงเพชร!L495"")"),0)</f>
        <v>0</v>
      </c>
      <c r="M600" s="168"/>
      <c r="N600" s="168">
        <f ca="1">IFERROR(__xludf.DUMMYFUNCTION("IMPORTRANGE(""https://docs.google.com/spreadsheets/d/11923uPwbBZFjjGgGUA6NLw09EwE0CqkOc4q9oUmW1yo/edit?usp=sharing"",""กำแพงเพชร!M495"")"),0)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IFERROR(__xludf.DUMMYFUNCTION("IMPORTRANGE(""https://docs.google.com/spreadsheets/d/11923uPwbBZFjjGgGUA6NLw09EwE0CqkOc4q9oUmW1yo/edit?usp=sharing"",""กำแพงเพชร!L496"")"),8900)</f>
        <v>8900</v>
      </c>
      <c r="M601" s="168"/>
      <c r="N601" s="168">
        <f ca="1">IFERROR(__xludf.DUMMYFUNCTION("IMPORTRANGE(""https://docs.google.com/spreadsheets/d/11923uPwbBZFjjGgGUA6NLw09EwE0CqkOc4q9oUmW1yo/edit?usp=sharing"",""กำแพงเพชร!M496"")"),1200)</f>
        <v>1200</v>
      </c>
      <c r="O601" s="168">
        <f t="shared" ca="1" si="126"/>
        <v>13.48314606741573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IFERROR(__xludf.DUMMYFUNCTION("IMPORTRANGE(""https://docs.google.com/spreadsheets/d/11923uPwbBZFjjGgGUA6NLw09EwE0CqkOc4q9oUmW1yo/edit?usp=sharing"",""กำแพงเพชร!M497"")"),0)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IFERROR(__xludf.DUMMYFUNCTION("IMPORTRANGE(""https://docs.google.com/spreadsheets/d/11923uPwbBZFjjGgGUA6NLw09EwE0CqkOc4q9oUmW1yo/edit?usp=sharing"",""กำแพงเพชร!M498"")"),0)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IFERROR(__xludf.DUMMYFUNCTION("IMPORTRANGE(""https://docs.google.com/spreadsheets/d/11923uPwbBZFjjGgGUA6NLw09EwE0CqkOc4q9oUmW1yo/edit?usp=sharing"",""กำแพงเพชร!M499"")"),1200)</f>
        <v>1200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IFERROR(__xludf.DUMMYFUNCTION("IMPORTRANGE(""https://docs.google.com/spreadsheets/d/11923uPwbBZFjjGgGUA6NLw09EwE0CqkOc4q9oUmW1yo/edit?usp=sharing"",""กำแพงเพชร!M500"")"),0)</f>
        <v>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IFERROR(__xludf.DUMMYFUNCTION("IMPORTRANGE(""https://docs.google.com/spreadsheets/d/11923uPwbBZFjjGgGUA6NLw09EwE0CqkOc4q9oUmW1yo/edit?usp=sharing"",""กำแพงเพชร!J502"")"),0)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IFERROR(__xludf.DUMMYFUNCTION("IMPORTRANGE(""https://docs.google.com/spreadsheets/d/11923uPwbBZFjjGgGUA6NLw09EwE0CqkOc4q9oUmW1yo/edit?usp=sharing"",""กำแพงเพชร!J503"")"),1)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IFERROR(__xludf.DUMMYFUNCTION("IMPORTRANGE(""https://docs.google.com/spreadsheets/d/11923uPwbBZFjjGgGUA6NLw09EwE0CqkOc4q9oUmW1yo/edit?usp=sharing"",""กำแพงเพชร!J166"")"),0)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IFERROR(__xludf.DUMMYFUNCTION("IMPORTRANGE(""https://docs.google.com/spreadsheets/d/11923uPwbBZFjjGgGUA6NLw09EwE0CqkOc4q9oUmW1yo/edit?usp=sharing"",""กำแพงเพชร!J166"")"),0)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IFERROR(__xludf.DUMMYFUNCTION("IMPORTRANGE(""https://docs.google.com/spreadsheets/d/11923uPwbBZFjjGgGUA6NLw09EwE0CqkOc4q9oUmW1yo/edit?usp=sharing"",""กำแพงเพชร!I506"")"),100)</f>
        <v>100</v>
      </c>
      <c r="J611" s="162">
        <f ca="1">IFERROR(__xludf.DUMMYFUNCTION("IMPORTRANGE(""https://docs.google.com/spreadsheets/d/11923uPwbBZFjjGgGUA6NLw09EwE0CqkOc4q9oUmW1yo/edit?usp=sharing"",""กำแพงเพชร!J506"")"),0)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IFERROR(__xludf.DUMMYFUNCTION("IMPORTRANGE(""https://docs.google.com/spreadsheets/d/11923uPwbBZFjjGgGUA6NLw09EwE0CqkOc4q9oUmW1yo/edit?usp=sharing"",""กำแพงเพชร!I507"")"),0)</f>
        <v>0</v>
      </c>
      <c r="J612" s="197">
        <f ca="1">IFERROR(__xludf.DUMMYFUNCTION("IMPORTRANGE(""https://docs.google.com/spreadsheets/d/11923uPwbBZFjjGgGUA6NLw09EwE0CqkOc4q9oUmW1yo/edit?usp=sharing"",""กำแพงเพชร!J507"")"),0)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IFERROR(__xludf.DUMMYFUNCTION("IMPORTRANGE(""https://docs.google.com/spreadsheets/d/11923uPwbBZFjjGgGUA6NLw09EwE0CqkOc4q9oUmW1yo/edit?usp=sharing"",""กำแพงเพชร!I508"")"),0)</f>
        <v>0</v>
      </c>
      <c r="J613" s="197">
        <f ca="1">IFERROR(__xludf.DUMMYFUNCTION("IMPORTRANGE(""https://docs.google.com/spreadsheets/d/11923uPwbBZFjjGgGUA6NLw09EwE0CqkOc4q9oUmW1yo/edit?usp=sharing"",""กำแพงเพชร!J508"")"),0)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IFERROR(__xludf.DUMMYFUNCTION("IMPORTRANGE(""https://docs.google.com/spreadsheets/d/11923uPwbBZFjjGgGUA6NLw09EwE0CqkOc4q9oUmW1yo/edit?usp=sharing"",""กำแพงเพชร!I509"")"),0)</f>
        <v>0</v>
      </c>
      <c r="J614" s="197">
        <f ca="1">IFERROR(__xludf.DUMMYFUNCTION("IMPORTRANGE(""https://docs.google.com/spreadsheets/d/11923uPwbBZFjjGgGUA6NLw09EwE0CqkOc4q9oUmW1yo/edit?usp=sharing"",""กำแพงเพชร!J509"")"),0)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IFERROR(__xludf.DUMMYFUNCTION("IMPORTRANGE(""https://docs.google.com/spreadsheets/d/11923uPwbBZFjjGgGUA6NLw09EwE0CqkOc4q9oUmW1yo/edit?usp=sharing"",""กำแพงเพชร!I510"")"),0)</f>
        <v>0</v>
      </c>
      <c r="J615" s="197">
        <f ca="1">IFERROR(__xludf.DUMMYFUNCTION("IMPORTRANGE(""https://docs.google.com/spreadsheets/d/11923uPwbBZFjjGgGUA6NLw09EwE0CqkOc4q9oUmW1yo/edit?usp=sharing"",""กำแพงเพชร!J510"")"),0)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IFERROR(__xludf.DUMMYFUNCTION("IMPORTRANGE(""https://docs.google.com/spreadsheets/d/11923uPwbBZFjjGgGUA6NLw09EwE0CqkOc4q9oUmW1yo/edit?usp=sharing"",""กำแพงเพชร!I511"")"),0)</f>
        <v>0</v>
      </c>
      <c r="J616" s="197">
        <f ca="1">IFERROR(__xludf.DUMMYFUNCTION("IMPORTRANGE(""https://docs.google.com/spreadsheets/d/11923uPwbBZFjjGgGUA6NLw09EwE0CqkOc4q9oUmW1yo/edit?usp=sharing"",""กำแพงเพชร!J511"")"),0)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IFERROR(__xludf.DUMMYFUNCTION("IMPORTRANGE(""https://docs.google.com/spreadsheets/d/11923uPwbBZFjjGgGUA6NLw09EwE0CqkOc4q9oUmW1yo/edit?usp=sharing"",""กำแพงเพชร!I512"")"),0)</f>
        <v>0</v>
      </c>
      <c r="J617" s="187">
        <f ca="1">IFERROR(__xludf.DUMMYFUNCTION("IMPORTRANGE(""https://docs.google.com/spreadsheets/d/11923uPwbBZFjjGgGUA6NLw09EwE0CqkOc4q9oUmW1yo/edit?usp=sharing"",""กำแพงเพชร!J512"")"),0)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IFERROR(__xludf.DUMMYFUNCTION("IMPORTRANGE(""https://docs.google.com/spreadsheets/d/11923uPwbBZFjjGgGUA6NLw09EwE0CqkOc4q9oUmW1yo/edit?usp=sharing"",""กำแพงเพชร!I513"")"),0)</f>
        <v>0</v>
      </c>
      <c r="J618" s="188">
        <f ca="1">IFERROR(__xludf.DUMMYFUNCTION("IMPORTRANGE(""https://docs.google.com/spreadsheets/d/11923uPwbBZFjjGgGUA6NLw09EwE0CqkOc4q9oUmW1yo/edit?usp=sharing"",""กำแพงเพชร!J513"")"),0)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IFERROR(__xludf.DUMMYFUNCTION("IMPORTRANGE(""https://docs.google.com/spreadsheets/d/11923uPwbBZFjjGgGUA6NLw09EwE0CqkOc4q9oUmW1yo/edit?usp=sharing"",""กำแพงเพชร!I514"")"),0)</f>
        <v>0</v>
      </c>
      <c r="J619" s="188">
        <f ca="1">IFERROR(__xludf.DUMMYFUNCTION("IMPORTRANGE(""https://docs.google.com/spreadsheets/d/11923uPwbBZFjjGgGUA6NLw09EwE0CqkOc4q9oUmW1yo/edit?usp=sharing"",""กำแพงเพชร!J514"")"),0)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IFERROR(__xludf.DUMMYFUNCTION("IMPORTRANGE(""https://docs.google.com/spreadsheets/d/11923uPwbBZFjjGgGUA6NLw09EwE0CqkOc4q9oUmW1yo/edit?usp=sharing"",""กำแพงเพชร!I515"")"),0)</f>
        <v>0</v>
      </c>
      <c r="J620" s="202">
        <f ca="1">IFERROR(__xludf.DUMMYFUNCTION("IMPORTRANGE(""https://docs.google.com/spreadsheets/d/11923uPwbBZFjjGgGUA6NLw09EwE0CqkOc4q9oUmW1yo/edit?usp=sharing"",""กำแพงเพชร!J515"")"),0)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IFERROR(__xludf.DUMMYFUNCTION("IMPORTRANGE(""https://docs.google.com/spreadsheets/d/11923uPwbBZFjjGgGUA6NLw09EwE0CqkOc4q9oUmW1yo/edit?usp=sharing"",""กำแพงเพชร!I516"")"),0)</f>
        <v>0</v>
      </c>
      <c r="J621" s="202">
        <f ca="1">IFERROR(__xludf.DUMMYFUNCTION("IMPORTRANGE(""https://docs.google.com/spreadsheets/d/11923uPwbBZFjjGgGUA6NLw09EwE0CqkOc4q9oUmW1yo/edit?usp=sharing"",""กำแพงเพชร!J516"")"),0)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IFERROR(__xludf.DUMMYFUNCTION("IMPORTRANGE(""https://docs.google.com/spreadsheets/d/11923uPwbBZFjjGgGUA6NLw09EwE0CqkOc4q9oUmW1yo/edit?usp=sharing"",""กำแพงเพชร!I517"")"),0)</f>
        <v>0</v>
      </c>
      <c r="J622" s="188">
        <f ca="1">IFERROR(__xludf.DUMMYFUNCTION("IMPORTRANGE(""https://docs.google.com/spreadsheets/d/11923uPwbBZFjjGgGUA6NLw09EwE0CqkOc4q9oUmW1yo/edit?usp=sharing"",""กำแพงเพชร!J517"")"),0)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IFERROR(__xludf.DUMMYFUNCTION("IMPORTRANGE(""https://docs.google.com/spreadsheets/d/11923uPwbBZFjjGgGUA6NLw09EwE0CqkOc4q9oUmW1yo/edit?usp=sharing"",""กำแพงเพชร!I518"")"),0)</f>
        <v>0</v>
      </c>
      <c r="J623" s="188">
        <f ca="1">IFERROR(__xludf.DUMMYFUNCTION("IMPORTRANGE(""https://docs.google.com/spreadsheets/d/11923uPwbBZFjjGgGUA6NLw09EwE0CqkOc4q9oUmW1yo/edit?usp=sharing"",""กำแพงเพชร!J518"")"),0)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IFERROR(__xludf.DUMMYFUNCTION("IMPORTRANGE(""https://docs.google.com/spreadsheets/d/11923uPwbBZFjjGgGUA6NLw09EwE0CqkOc4q9oUmW1yo/edit?usp=sharing"",""กำแพงเพชร!I519"")"),0)</f>
        <v>0</v>
      </c>
      <c r="J624" s="187">
        <f ca="1">IFERROR(__xludf.DUMMYFUNCTION("IMPORTRANGE(""https://docs.google.com/spreadsheets/d/11923uPwbBZFjjGgGUA6NLw09EwE0CqkOc4q9oUmW1yo/edit?usp=sharing"",""กำแพงเพชร!J519"")"),0)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IFERROR(__xludf.DUMMYFUNCTION("IMPORTRANGE(""https://docs.google.com/spreadsheets/d/11923uPwbBZFjjGgGUA6NLw09EwE0CqkOc4q9oUmW1yo/edit?usp=sharing"",""กำแพงเพชร!I520"")"),0)</f>
        <v>0</v>
      </c>
      <c r="J625" s="188">
        <f ca="1">IFERROR(__xludf.DUMMYFUNCTION("IMPORTRANGE(""https://docs.google.com/spreadsheets/d/11923uPwbBZFjjGgGUA6NLw09EwE0CqkOc4q9oUmW1yo/edit?usp=sharing"",""กำแพงเพชร!J520"")"),0)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IFERROR(__xludf.DUMMYFUNCTION("IMPORTRANGE(""https://docs.google.com/spreadsheets/d/11923uPwbBZFjjGgGUA6NLw09EwE0CqkOc4q9oUmW1yo/edit?usp=sharing"",""กำแพงเพชร!I521"")"),0)</f>
        <v>0</v>
      </c>
      <c r="J626" s="188">
        <f ca="1">IFERROR(__xludf.DUMMYFUNCTION("IMPORTRANGE(""https://docs.google.com/spreadsheets/d/11923uPwbBZFjjGgGUA6NLw09EwE0CqkOc4q9oUmW1yo/edit?usp=sharing"",""กำแพงเพชร!J521"")"),0)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IFERROR(__xludf.DUMMYFUNCTION("IMPORTRANGE(""https://docs.google.com/spreadsheets/d/11923uPwbBZFjjGgGUA6NLw09EwE0CqkOc4q9oUmW1yo/edit?usp=sharing"",""กำแพงเพชร!I523"")"),5000000)</f>
        <v>5000000</v>
      </c>
      <c r="J628" s="341">
        <f ca="1">IFERROR(__xludf.DUMMYFUNCTION("IMPORTRANGE(""https://docs.google.com/spreadsheets/d/11923uPwbBZFjjGgGUA6NLw09EwE0CqkOc4q9oUmW1yo/edit?usp=sharing"",""กำแพงเพชร!J523"")"),1233000)</f>
        <v>1233000</v>
      </c>
      <c r="K628" s="342">
        <f t="shared" ref="K628:K635" ca="1" si="129">IF(I628&gt;0,J628*100/I628,0)</f>
        <v>24.66</v>
      </c>
      <c r="L628" s="342"/>
      <c r="M628" s="342"/>
      <c r="N628" s="342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IFERROR(__xludf.DUMMYFUNCTION("IMPORTRANGE(""https://docs.google.com/spreadsheets/d/11923uPwbBZFjjGgGUA6NLw09EwE0CqkOc4q9oUmW1yo/edit?usp=sharing"",""กำแพงเพชร!I524"")"),161)</f>
        <v>161</v>
      </c>
      <c r="J629" s="341">
        <f ca="1">IFERROR(__xludf.DUMMYFUNCTION("IMPORTRANGE(""https://docs.google.com/spreadsheets/d/11923uPwbBZFjjGgGUA6NLw09EwE0CqkOc4q9oUmW1yo/edit?usp=sharing"",""กำแพงเพชร!J524"")"),41)</f>
        <v>41</v>
      </c>
      <c r="K629" s="342">
        <f t="shared" ca="1" si="129"/>
        <v>25.465838509316772</v>
      </c>
      <c r="L629" s="342"/>
      <c r="M629" s="342"/>
      <c r="N629" s="342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IFERROR(__xludf.DUMMYFUNCTION("IMPORTRANGE(""https://docs.google.com/spreadsheets/d/11923uPwbBZFjjGgGUA6NLw09EwE0CqkOc4q9oUmW1yo/edit?usp=sharing"",""กำแพงเพชร!I525"")"),4969936.21)</f>
        <v>4969936.21</v>
      </c>
      <c r="J630" s="341">
        <f ca="1">IFERROR(__xludf.DUMMYFUNCTION("IMPORTRANGE(""https://docs.google.com/spreadsheets/d/11923uPwbBZFjjGgGUA6NLw09EwE0CqkOc4q9oUmW1yo/edit?usp=sharing"",""กำแพงเพชร!J525"")"),1047137.13)</f>
        <v>1047137.13</v>
      </c>
      <c r="K630" s="342">
        <f t="shared" ca="1" si="129"/>
        <v>21.069427971591612</v>
      </c>
      <c r="L630" s="342"/>
      <c r="M630" s="342"/>
      <c r="N630" s="342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IFERROR(__xludf.DUMMYFUNCTION("IMPORTRANGE(""https://docs.google.com/spreadsheets/d/11923uPwbBZFjjGgGUA6NLw09EwE0CqkOc4q9oUmW1yo/edit?usp=sharing"",""กำแพงเพชร!I526"")"),126)</f>
        <v>126</v>
      </c>
      <c r="J631" s="341">
        <f ca="1">IFERROR(__xludf.DUMMYFUNCTION("IMPORTRANGE(""https://docs.google.com/spreadsheets/d/11923uPwbBZFjjGgGUA6NLw09EwE0CqkOc4q9oUmW1yo/edit?usp=sharing"",""กำแพงเพชร!J526"")"),60)</f>
        <v>60</v>
      </c>
      <c r="K631" s="342">
        <f t="shared" ca="1" si="129"/>
        <v>47.61904761904762</v>
      </c>
      <c r="L631" s="342"/>
      <c r="M631" s="342"/>
      <c r="N631" s="342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IFERROR(__xludf.DUMMYFUNCTION("IMPORTRANGE(""https://docs.google.com/spreadsheets/d/11923uPwbBZFjjGgGUA6NLw09EwE0CqkOc4q9oUmW1yo/edit?usp=sharing"",""กำแพงเพชร!I527"")"),2521310.15)</f>
        <v>2521310.15</v>
      </c>
      <c r="J632" s="341">
        <f ca="1">IFERROR(__xludf.DUMMYFUNCTION("IMPORTRANGE(""https://docs.google.com/spreadsheets/d/11923uPwbBZFjjGgGUA6NLw09EwE0CqkOc4q9oUmW1yo/edit?usp=sharing"",""กำแพงเพชร!J527"")"),973844.61)</f>
        <v>973844.61</v>
      </c>
      <c r="K632" s="342">
        <f t="shared" ca="1" si="129"/>
        <v>38.624546448599354</v>
      </c>
      <c r="L632" s="342"/>
      <c r="M632" s="342"/>
      <c r="N632" s="342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IFERROR(__xludf.DUMMYFUNCTION("IMPORTRANGE(""https://docs.google.com/spreadsheets/d/11923uPwbBZFjjGgGUA6NLw09EwE0CqkOc4q9oUmW1yo/edit?usp=sharing"",""กำแพงเพชร!I528"")"),293)</f>
        <v>293</v>
      </c>
      <c r="J633" s="341">
        <f ca="1">IFERROR(__xludf.DUMMYFUNCTION("IMPORTRANGE(""https://docs.google.com/spreadsheets/d/11923uPwbBZFjjGgGUA6NLw09EwE0CqkOc4q9oUmW1yo/edit?usp=sharing"",""กำแพงเพชร!J528"")"),182)</f>
        <v>182</v>
      </c>
      <c r="K633" s="342">
        <f t="shared" ca="1" si="129"/>
        <v>62.116040955631398</v>
      </c>
      <c r="L633" s="342"/>
      <c r="M633" s="342"/>
      <c r="N633" s="342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IFERROR(__xludf.DUMMYFUNCTION("IMPORTRANGE(""https://docs.google.com/spreadsheets/d/11923uPwbBZFjjGgGUA6NLw09EwE0CqkOc4q9oUmW1yo/edit?usp=sharing"",""กำแพงเพชร!I529"")"),5000000)</f>
        <v>5000000</v>
      </c>
      <c r="J634" s="341">
        <f ca="1">IFERROR(__xludf.DUMMYFUNCTION("IMPORTRANGE(""https://docs.google.com/spreadsheets/d/11923uPwbBZFjjGgGUA6NLw09EwE0CqkOc4q9oUmW1yo/edit?usp=sharing"",""กำแพงเพชร!J529"")"),3090000)</f>
        <v>3090000</v>
      </c>
      <c r="K634" s="342">
        <f t="shared" ca="1" si="129"/>
        <v>61.8</v>
      </c>
      <c r="L634" s="342"/>
      <c r="M634" s="342"/>
      <c r="N634" s="342"/>
      <c r="O634" s="168"/>
      <c r="P634" s="168"/>
    </row>
    <row r="635" spans="1:16" ht="21.75" customHeight="1" x14ac:dyDescent="0.35">
      <c r="A635" s="556"/>
      <c r="B635" s="557"/>
      <c r="C635" s="557"/>
      <c r="D635" s="558"/>
      <c r="E635" s="559"/>
      <c r="F635" s="559"/>
      <c r="G635" s="560"/>
      <c r="H635" s="503" t="s">
        <v>37</v>
      </c>
      <c r="I635" s="504">
        <f ca="1">IFERROR(__xludf.DUMMYFUNCTION("IMPORTRANGE(""https://docs.google.com/spreadsheets/d/11923uPwbBZFjjGgGUA6NLw09EwE0CqkOc4q9oUmW1yo/edit?usp=sharing"",""กำแพงเพชร!I530"")"),164)</f>
        <v>164</v>
      </c>
      <c r="J635" s="504">
        <f ca="1">IFERROR(__xludf.DUMMYFUNCTION("IMPORTRANGE(""https://docs.google.com/spreadsheets/d/11923uPwbBZFjjGgGUA6NLw09EwE0CqkOc4q9oUmW1yo/edit?usp=sharing"",""กำแพงเพชร!J530"")"),103)</f>
        <v>103</v>
      </c>
      <c r="K635" s="486">
        <f t="shared" ca="1" si="129"/>
        <v>62.804878048780488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5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5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IFERROR(__xludf.DUMMYFUNCTION("IMPORTRANGE(""https://docs.google.com/spreadsheets/d/11923uPwbBZFjjGgGUA6NLw09EwE0CqkOc4q9oUmW1yo/edit?usp=sharing"",""กำแพงเพชร!J541"")"),0)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5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IFERROR(__xludf.DUMMYFUNCTION("IMPORTRANGE(""https://docs.google.com/spreadsheets/d/11923uPwbBZFjjGgGUA6NLw09EwE0CqkOc4q9oUmW1yo/edit?usp=sharing"",""กำแพงเพชร!J542"")"),0)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5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IFERROR(__xludf.DUMMYFUNCTION("IMPORTRANGE(""https://docs.google.com/spreadsheets/d/11923uPwbBZFjjGgGUA6NLw09EwE0CqkOc4q9oUmW1yo/edit?usp=sharing"",""กำแพงเพชร!I543"")"),0)</f>
        <v>0</v>
      </c>
      <c r="J648" s="535">
        <f ca="1">IFERROR(__xludf.DUMMYFUNCTION("IMPORTRANGE(""https://docs.google.com/spreadsheets/d/11923uPwbBZFjjGgGUA6NLw09EwE0CqkOc4q9oUmW1yo/edit?usp=sharing"",""กำแพงเพชร!J543"")"),0)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IFERROR(__xludf.DUMMYFUNCTION("IMPORTRANGE(""https://docs.google.com/spreadsheets/d/11923uPwbBZFjjGgGUA6NLw09EwE0CqkOc4q9oUmW1yo/edit?usp=sharing"",""กำแพงเพชร!L543"")"),0)</f>
        <v>0</v>
      </c>
      <c r="M648" s="520"/>
      <c r="N648" s="537">
        <f ca="1">IFERROR(__xludf.DUMMYFUNCTION("IMPORTRANGE(""https://docs.google.com/spreadsheets/d/11923uPwbBZFjjGgGUA6NLw09EwE0CqkOc4q9oUmW1yo/edit?usp=sharing"",""กำแพงเพชร!M543"")"),0)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5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IFERROR(__xludf.DUMMYFUNCTION("IMPORTRANGE(""https://docs.google.com/spreadsheets/d/11923uPwbBZFjjGgGUA6NLw09EwE0CqkOc4q9oUmW1yo/edit?usp=sharing"",""กำแพงเพชร!I544"")"),0)</f>
        <v>0</v>
      </c>
      <c r="J649" s="535">
        <f ca="1">IFERROR(__xludf.DUMMYFUNCTION("IMPORTRANGE(""https://docs.google.com/spreadsheets/d/11923uPwbBZFjjGgGUA6NLw09EwE0CqkOc4q9oUmW1yo/edit?usp=sharing"",""กำแพงเพชร!J544"")"),0)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IFERROR(__xludf.DUMMYFUNCTION("IMPORTRANGE(""https://docs.google.com/spreadsheets/d/11923uPwbBZFjjGgGUA6NLw09EwE0CqkOc4q9oUmW1yo/edit?usp=sharing"",""กำแพงเพชร!L544"")"),0)</f>
        <v>0</v>
      </c>
      <c r="M649" s="520"/>
      <c r="N649" s="537">
        <f ca="1">IFERROR(__xludf.DUMMYFUNCTION("IMPORTRANGE(""https://docs.google.com/spreadsheets/d/11923uPwbBZFjjGgGUA6NLw09EwE0CqkOc4q9oUmW1yo/edit?usp=sharing"",""กำแพงเพชร!M544"")"),0)</f>
        <v>0</v>
      </c>
      <c r="O649" s="536">
        <f t="shared" ca="1" si="132"/>
        <v>0</v>
      </c>
      <c r="P649" s="536"/>
    </row>
    <row r="650" spans="1:16" ht="21.75" customHeight="1" x14ac:dyDescent="0.45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IFERROR(__xludf.DUMMYFUNCTION("IMPORTRANGE(""https://docs.google.com/spreadsheets/d/11923uPwbBZFjjGgGUA6NLw09EwE0CqkOc4q9oUmW1yo/edit?usp=sharing"",""กำแพงเพชร!I545"")"),0)</f>
        <v>0</v>
      </c>
      <c r="J650" s="535">
        <f ca="1">IFERROR(__xludf.DUMMYFUNCTION("IMPORTRANGE(""https://docs.google.com/spreadsheets/d/11923uPwbBZFjjGgGUA6NLw09EwE0CqkOc4q9oUmW1yo/edit?usp=sharing"",""กำแพงเพชร!J545"")"),0)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IFERROR(__xludf.DUMMYFUNCTION("IMPORTRANGE(""https://docs.google.com/spreadsheets/d/11923uPwbBZFjjGgGUA6NLw09EwE0CqkOc4q9oUmW1yo/edit?usp=sharing"",""กำแพงเพชร!L545"")"),0)</f>
        <v>0</v>
      </c>
      <c r="M650" s="520"/>
      <c r="N650" s="537">
        <f ca="1">IFERROR(__xludf.DUMMYFUNCTION("IMPORTRANGE(""https://docs.google.com/spreadsheets/d/11923uPwbBZFjjGgGUA6NLw09EwE0CqkOc4q9oUmW1yo/edit?usp=sharing"",""กำแพงเพชร!M545"")"),0)</f>
        <v>0</v>
      </c>
      <c r="O650" s="536">
        <f t="shared" ca="1" si="132"/>
        <v>0</v>
      </c>
      <c r="P650" s="536"/>
    </row>
    <row r="651" spans="1:16" ht="21.75" customHeight="1" x14ac:dyDescent="0.45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IFERROR(__xludf.DUMMYFUNCTION("IMPORTRANGE(""https://docs.google.com/spreadsheets/d/11923uPwbBZFjjGgGUA6NLw09EwE0CqkOc4q9oUmW1yo/edit?usp=sharing"",""กำแพงเพชร!I546"")"),0)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IFERROR(__xludf.DUMMYFUNCTION("IMPORTRANGE(""https://docs.google.com/spreadsheets/d/11923uPwbBZFjjGgGUA6NLw09EwE0CqkOc4q9oUmW1yo/edit?usp=sharing"",""กำแพงเพชร!L546"")"),0)</f>
        <v>0</v>
      </c>
      <c r="M651" s="520"/>
      <c r="N651" s="537">
        <f ca="1">IFERROR(__xludf.DUMMYFUNCTION("IMPORTRANGE(""https://docs.google.com/spreadsheets/d/11923uPwbBZFjjGgGUA6NLw09EwE0CqkOc4q9oUmW1yo/edit?usp=sharing"",""กำแพงเพชร!M546"")"),0)</f>
        <v>0</v>
      </c>
      <c r="O651" s="536">
        <f t="shared" ca="1" si="132"/>
        <v>0</v>
      </c>
      <c r="P651" s="536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IFERROR(__xludf.DUMMYFUNCTION("IMPORTRANGE(""https://docs.google.com/spreadsheets/d/11923uPwbBZFjjGgGUA6NLw09EwE0CqkOc4q9oUmW1yo/edit?usp=sharing"",""กำแพงเพชร!J547"")"),0)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IFERROR(__xludf.DUMMYFUNCTION("IMPORTRANGE(""https://docs.google.com/spreadsheets/d/11923uPwbBZFjjGgGUA6NLw09EwE0CqkOc4q9oUmW1yo/edit?usp=sharing"",""กำแพงเพชร!J548"")"),0)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IFERROR(__xludf.DUMMYFUNCTION("IMPORTRANGE(""https://docs.google.com/spreadsheets/d/11923uPwbBZFjjGgGUA6NLw09EwE0CqkOc4q9oUmW1yo/edit?usp=sharing"",""กำแพงเพชร!J550"")"),0)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IFERROR(__xludf.DUMMYFUNCTION("IMPORTRANGE(""https://docs.google.com/spreadsheets/d/11923uPwbBZFjjGgGUA6NLw09EwE0CqkOc4q9oUmW1yo/edit?usp=sharing"",""กำแพงเพชร!J551"")"),0)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IFERROR(__xludf.DUMMYFUNCTION("IMPORTRANGE(""https://docs.google.com/spreadsheets/d/11923uPwbBZFjjGgGUA6NLw09EwE0CqkOc4q9oUmW1yo/edit?usp=sharing"",""กำแพงเพชร!J552"")"),0)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IFERROR(__xludf.DUMMYFUNCTION("IMPORTRANGE(""https://docs.google.com/spreadsheets/d/11923uPwbBZFjjGgGUA6NLw09EwE0CqkOc4q9oUmW1yo/edit?usp=sharing"",""กำแพงเพชร!J553"")"),0)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IFERROR(__xludf.DUMMYFUNCTION("IMPORTRANGE(""https://docs.google.com/spreadsheets/d/11923uPwbBZFjjGgGUA6NLw09EwE0CqkOc4q9oUmW1yo/edit?usp=sharing"",""กำแพงเพชร!J554"")"),0)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IFERROR(__xludf.DUMMYFUNCTION("IMPORTRANGE(""https://docs.google.com/spreadsheets/d/11923uPwbBZFjjGgGUA6NLw09EwE0CqkOc4q9oUmW1yo/edit?usp=sharing"",""กำแพงเพชร!J555"")"),0)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5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IFERROR(__xludf.DUMMYFUNCTION("IMPORTRANGE(""https://docs.google.com/spreadsheets/d/11923uPwbBZFjjGgGUA6NLw09EwE0CqkOc4q9oUmW1yo/edit?usp=sharing"",""กำแพงเพชร!J556"")"),0)</f>
        <v>0</v>
      </c>
      <c r="K661" s="536"/>
      <c r="L661" s="521">
        <f ca="1">IFERROR(__xludf.DUMMYFUNCTION("IMPORTRANGE(""https://docs.google.com/spreadsheets/d/11923uPwbBZFjjGgGUA6NLw09EwE0CqkOc4q9oUmW1yo/edit?usp=sharing"",""กำแพงเพชร!L556"")"),0)</f>
        <v>0</v>
      </c>
      <c r="M661" s="520"/>
      <c r="N661" s="537">
        <f ca="1">IFERROR(__xludf.DUMMYFUNCTION("IMPORTRANGE(""https://docs.google.com/spreadsheets/d/11923uPwbBZFjjGgGUA6NLw09EwE0CqkOc4q9oUmW1yo/edit?usp=sharing"",""กำแพงเพชร!M556"")"),0)</f>
        <v>0</v>
      </c>
      <c r="O661" s="536">
        <f ca="1">IF(L661&gt;0,N661*100/L661,0)</f>
        <v>0</v>
      </c>
      <c r="P661" s="536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IFERROR(__xludf.DUMMYFUNCTION("IMPORTRANGE(""https://docs.google.com/spreadsheets/d/11923uPwbBZFjjGgGUA6NLw09EwE0CqkOc4q9oUmW1yo/edit?usp=sharing"",""กำแพงเพชร!J557"")"),0)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IFERROR(__xludf.DUMMYFUNCTION("IMPORTRANGE(""https://docs.google.com/spreadsheets/d/11923uPwbBZFjjGgGUA6NLw09EwE0CqkOc4q9oUmW1yo/edit?usp=sharing"",""กำแพงเพชร!I558"")"),0)</f>
        <v>0</v>
      </c>
      <c r="J663" s="535">
        <f ca="1">IFERROR(__xludf.DUMMYFUNCTION("IMPORTRANGE(""https://docs.google.com/spreadsheets/d/11923uPwbBZFjjGgGUA6NLw09EwE0CqkOc4q9oUmW1yo/edit?usp=sharing"",""กำแพงเพชร!J558"")"),0)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5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IFERROR(__xludf.DUMMYFUNCTION("IMPORTRANGE(""https://docs.google.com/spreadsheets/d/11923uPwbBZFjjGgGUA6NLw09EwE0CqkOc4q9oUmW1yo/edit?usp=sharing"",""กำแพงเพชร!I560"")"),0)</f>
        <v>0</v>
      </c>
      <c r="J665" s="535">
        <f ca="1">IFERROR(__xludf.DUMMYFUNCTION("IMPORTRANGE(""https://docs.google.com/spreadsheets/d/11923uPwbBZFjjGgGUA6NLw09EwE0CqkOc4q9oUmW1yo/edit?usp=sharing"",""กำแพงเพชร!J560"")"),0)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IFERROR(__xludf.DUMMYFUNCTION("IMPORTRANGE(""https://docs.google.com/spreadsheets/d/11923uPwbBZFjjGgGUA6NLw09EwE0CqkOc4q9oUmW1yo/edit?usp=sharing"",""กำแพงเพชร!L560"")"),0)</f>
        <v>0</v>
      </c>
      <c r="M665" s="520"/>
      <c r="N665" s="537">
        <f ca="1">IFERROR(__xludf.DUMMYFUNCTION("IMPORTRANGE(""https://docs.google.com/spreadsheets/d/11923uPwbBZFjjGgGUA6NLw09EwE0CqkOc4q9oUmW1yo/edit?usp=sharing"",""กำแพงเพชร!M560"")"),0)</f>
        <v>0</v>
      </c>
      <c r="O665" s="536">
        <f ca="1">IF(L665&gt;0,N665*100/L665,0)</f>
        <v>0</v>
      </c>
      <c r="P665" s="536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IFERROR(__xludf.DUMMYFUNCTION("IMPORTRANGE(""https://docs.google.com/spreadsheets/d/11923uPwbBZFjjGgGUA6NLw09EwE0CqkOc4q9oUmW1yo/edit?usp=sharing"",""กำแพงเพชร!J561"")"),0)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IFERROR(__xludf.DUMMYFUNCTION("IMPORTRANGE(""https://docs.google.com/spreadsheets/d/11923uPwbBZFjjGgGUA6NLw09EwE0CqkOc4q9oUmW1yo/edit?usp=sharing"",""กำแพงเพชร!J562"")"),0)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IFERROR(__xludf.DUMMYFUNCTION("IMPORTRANGE(""https://docs.google.com/spreadsheets/d/11923uPwbBZFjjGgGUA6NLw09EwE0CqkOc4q9oUmW1yo/edit?usp=sharing"",""กำแพงเพชร!I563"")"),0)</f>
        <v>0</v>
      </c>
      <c r="J668" s="535">
        <f ca="1">IFERROR(__xludf.DUMMYFUNCTION("IMPORTRANGE(""https://docs.google.com/spreadsheets/d/11923uPwbBZFjjGgGUA6NLw09EwE0CqkOc4q9oUmW1yo/edit?usp=sharing"",""กำแพงเพชร!J563"")"),0)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IFERROR(__xludf.DUMMYFUNCTION("IMPORTRANGE(""https://docs.google.com/spreadsheets/d/11923uPwbBZFjjGgGUA6NLw09EwE0CqkOc4q9oUmW1yo/edit?usp=sharing"",""กำแพงเพชร!L563"")"),0)</f>
        <v>0</v>
      </c>
      <c r="M668" s="520"/>
      <c r="N668" s="537">
        <f ca="1">IFERROR(__xludf.DUMMYFUNCTION("IMPORTRANGE(""https://docs.google.com/spreadsheets/d/11923uPwbBZFjjGgGUA6NLw09EwE0CqkOc4q9oUmW1yo/edit?usp=sharing"",""กำแพงเพชร!M563"")"),0)</f>
        <v>0</v>
      </c>
      <c r="O668" s="536">
        <f ca="1">IF(L668&gt;0,N668*100/L668,0)</f>
        <v>0</v>
      </c>
      <c r="P668" s="536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IFERROR(__xludf.DUMMYFUNCTION("IMPORTRANGE(""https://docs.google.com/spreadsheets/d/11923uPwbBZFjjGgGUA6NLw09EwE0CqkOc4q9oUmW1yo/edit?usp=sharing"",""กำแพงเพชร!J564"")"),0)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IFERROR(__xludf.DUMMYFUNCTION("IMPORTRANGE(""https://docs.google.com/spreadsheets/d/11923uPwbBZFjjGgGUA6NLw09EwE0CqkOc4q9oUmW1yo/edit?usp=sharing"",""กำแพงเพชร!J565"")"),0)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5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IFERROR(__xludf.DUMMYFUNCTION("IMPORTRANGE(""https://docs.google.com/spreadsheets/d/11923uPwbBZFjjGgGUA6NLw09EwE0CqkOc4q9oUmW1yo/edit?usp=sharing"",""กำแพงเพชร!I566"")"),0)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IFERROR(__xludf.DUMMYFUNCTION("IMPORTRANGE(""https://docs.google.com/spreadsheets/d/11923uPwbBZFjjGgGUA6NLw09EwE0CqkOc4q9oUmW1yo/edit?usp=sharing"",""กำแพงเพชร!L566"")"),0)</f>
        <v>0</v>
      </c>
      <c r="M671" s="520"/>
      <c r="N671" s="537">
        <f ca="1">IFERROR(__xludf.DUMMYFUNCTION("IMPORTRANGE(""https://docs.google.com/spreadsheets/d/11923uPwbBZFjjGgGUA6NLw09EwE0CqkOc4q9oUmW1yo/edit?usp=sharing"",""กำแพงเพชร!M566"")"),0)</f>
        <v>0</v>
      </c>
      <c r="O671" s="536">
        <f ca="1">IF(L671&gt;0,N671*100/L671,0)</f>
        <v>0</v>
      </c>
      <c r="P671" s="536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IFERROR(__xludf.DUMMYFUNCTION("IMPORTRANGE(""https://docs.google.com/spreadsheets/d/11923uPwbBZFjjGgGUA6NLw09EwE0CqkOc4q9oUmW1yo/edit?usp=sharing"",""กำแพงเพชร!J567"")"),0)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IFERROR(__xludf.DUMMYFUNCTION("IMPORTRANGE(""https://docs.google.com/spreadsheets/d/11923uPwbBZFjjGgGUA6NLw09EwE0CqkOc4q9oUmW1yo/edit?usp=sharing"",""กำแพงเพชร!J568"")"),0)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IFERROR(__xludf.DUMMYFUNCTION("IMPORTRANGE(""https://docs.google.com/spreadsheets/d/11923uPwbBZFjjGgGUA6NLw09EwE0CqkOc4q9oUmW1yo/edit?usp=sharing"",""กำแพงเพชร!J569"")"),0)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IFERROR(__xludf.DUMMYFUNCTION("IMPORTRANGE(""https://docs.google.com/spreadsheets/d/11923uPwbBZFjjGgGUA6NLw09EwE0CqkOc4q9oUmW1yo/edit?usp=sharing"",""กำแพงเพชร!J570"")"),0)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IFERROR(__xludf.DUMMYFUNCTION("IMPORTRANGE(""https://docs.google.com/spreadsheets/d/11923uPwbBZFjjGgGUA6NLw09EwE0CqkOc4q9oUmW1yo/edit?usp=sharing"",""กำแพงเพชร!J571"")"),0)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5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IFERROR(__xludf.DUMMYFUNCTION("IMPORTRANGE(""https://docs.google.com/spreadsheets/d/11923uPwbBZFjjGgGUA6NLw09EwE0CqkOc4q9oUmW1yo/edit?usp=sharing"",""กำแพงเพชร!J572"")"),0)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61">
    <mergeCell ref="A1:P1"/>
    <mergeCell ref="A2:P2"/>
    <mergeCell ref="A3:P3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35">
      <c r="A2" s="577" t="s">
        <v>262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3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7104559</v>
      </c>
      <c r="M8" s="23">
        <f t="shared" ca="1" si="0"/>
        <v>3757557</v>
      </c>
      <c r="N8" s="23">
        <f t="shared" ca="1" si="0"/>
        <v>4124836.1499999994</v>
      </c>
      <c r="O8" s="22">
        <f t="shared" ref="O8:O16" ca="1" si="1">IF(L8&gt;0,N8*100/L8,0)</f>
        <v>58.059003380786891</v>
      </c>
      <c r="P8" s="22">
        <f t="shared" ref="P8:P16" ca="1" si="2">IF(M8&gt;0,N8*100/M8,0)</f>
        <v>109.77441326904687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7104559</v>
      </c>
      <c r="M10" s="30">
        <f t="shared" ca="1" si="4"/>
        <v>3757557</v>
      </c>
      <c r="N10" s="30">
        <f t="shared" ca="1" si="4"/>
        <v>4124836.1499999994</v>
      </c>
      <c r="O10" s="29">
        <f t="shared" ca="1" si="1"/>
        <v>58.059003380786891</v>
      </c>
      <c r="P10" s="29">
        <f t="shared" ca="1" si="2"/>
        <v>109.77441326904687</v>
      </c>
    </row>
    <row r="11" spans="1:16" ht="21.75" customHeight="1" x14ac:dyDescent="0.45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6919759</v>
      </c>
      <c r="M12" s="39">
        <f t="shared" ca="1" si="6"/>
        <v>3572757</v>
      </c>
      <c r="N12" s="39">
        <f t="shared" ca="1" si="6"/>
        <v>3940036.1499999994</v>
      </c>
      <c r="O12" s="39">
        <f t="shared" ca="1" si="1"/>
        <v>56.938921572268619</v>
      </c>
      <c r="P12" s="39">
        <f t="shared" ca="1" si="2"/>
        <v>110.27999245400679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2745700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4174059</v>
      </c>
      <c r="M14" s="39">
        <f t="shared" si="8"/>
        <v>0</v>
      </c>
      <c r="N14" s="39">
        <f t="shared" ca="1" si="8"/>
        <v>1093725.95</v>
      </c>
      <c r="O14" s="39">
        <f t="shared" ca="1" si="1"/>
        <v>26.202934601547319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184800</v>
      </c>
      <c r="M16" s="39">
        <f t="shared" ca="1" si="10"/>
        <v>184800</v>
      </c>
      <c r="N16" s="39">
        <f t="shared" ca="1" si="10"/>
        <v>184800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4633740</v>
      </c>
      <c r="M18" s="23">
        <f t="shared" ca="1" si="11"/>
        <v>3757557</v>
      </c>
      <c r="N18" s="23">
        <f t="shared" ca="1" si="11"/>
        <v>3031110.1999999997</v>
      </c>
      <c r="O18" s="22">
        <f t="shared" ref="O18:O20" ca="1" si="12">IF(L18&gt;0,N18*100/L18,0)</f>
        <v>65.413903240147263</v>
      </c>
      <c r="P18" s="22">
        <f t="shared" ref="P18:P26" ca="1" si="13">IF(M18&gt;0,N18*100/M18,0)</f>
        <v>80.667045104039673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4633740</v>
      </c>
      <c r="M20" s="30">
        <f t="shared" ca="1" si="15"/>
        <v>3757557</v>
      </c>
      <c r="N20" s="30">
        <f t="shared" ca="1" si="15"/>
        <v>3031110.1999999997</v>
      </c>
      <c r="O20" s="29">
        <f t="shared" ca="1" si="12"/>
        <v>65.413903240147263</v>
      </c>
      <c r="P20" s="29">
        <f t="shared" ca="1" si="13"/>
        <v>80.667045104039673</v>
      </c>
    </row>
    <row r="21" spans="1:16" ht="21.75" customHeight="1" x14ac:dyDescent="0.45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4448940</v>
      </c>
      <c r="M22" s="42">
        <f t="shared" ca="1" si="18"/>
        <v>3572757</v>
      </c>
      <c r="N22" s="39">
        <f t="shared" ca="1" si="18"/>
        <v>2846310.1999999997</v>
      </c>
      <c r="O22" s="39">
        <f t="shared" ca="1" si="17"/>
        <v>63.977266494940366</v>
      </c>
      <c r="P22" s="39">
        <f t="shared" ca="1" si="13"/>
        <v>79.66705264309887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2745700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1703240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184800</v>
      </c>
      <c r="M26" s="50">
        <f t="shared" ca="1" si="22"/>
        <v>184800</v>
      </c>
      <c r="N26" s="50">
        <f t="shared" ca="1" si="22"/>
        <v>184800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2470819</v>
      </c>
      <c r="M28" s="23">
        <f t="shared" si="23"/>
        <v>0</v>
      </c>
      <c r="N28" s="23">
        <f t="shared" ca="1" si="23"/>
        <v>1093725.95</v>
      </c>
      <c r="O28" s="22">
        <f t="shared" ref="O28:O30" ca="1" si="24">IF(L28&gt;0,N28*100/L28,0)</f>
        <v>44.265725251424733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2470819</v>
      </c>
      <c r="M30" s="30">
        <f t="shared" si="27"/>
        <v>0</v>
      </c>
      <c r="N30" s="30">
        <f t="shared" ca="1" si="27"/>
        <v>1093725.95</v>
      </c>
      <c r="O30" s="29">
        <f t="shared" ca="1" si="24"/>
        <v>44.265725251424733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2470819</v>
      </c>
      <c r="M32" s="39">
        <f t="shared" si="30"/>
        <v>0</v>
      </c>
      <c r="N32" s="39">
        <f t="shared" ca="1" si="30"/>
        <v>1093725.95</v>
      </c>
      <c r="O32" s="39">
        <f t="shared" ca="1" si="29"/>
        <v>44.265725251424733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2470819</v>
      </c>
      <c r="M34" s="39">
        <f t="shared" si="32"/>
        <v>0</v>
      </c>
      <c r="N34" s="39">
        <f t="shared" ca="1" si="32"/>
        <v>1093725.95</v>
      </c>
      <c r="O34" s="39">
        <f t="shared" ca="1" si="29"/>
        <v>44.265725251424733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4633740</v>
      </c>
      <c r="M37" s="55">
        <f t="shared" ca="1" si="33"/>
        <v>3757557</v>
      </c>
      <c r="N37" s="55">
        <f t="shared" ca="1" si="33"/>
        <v>3031110.1999999997</v>
      </c>
      <c r="O37" s="56">
        <f t="shared" ca="1" si="29"/>
        <v>65.413903240147263</v>
      </c>
      <c r="P37" s="56">
        <f t="shared" ca="1" si="25"/>
        <v>80.667045104039673</v>
      </c>
    </row>
    <row r="38" spans="1:16" ht="21.75" customHeight="1" x14ac:dyDescent="0.45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750700</v>
      </c>
      <c r="M41" s="79">
        <f t="shared" ca="1" si="34"/>
        <v>563100</v>
      </c>
      <c r="N41" s="79">
        <f t="shared" ca="1" si="34"/>
        <v>486265.01</v>
      </c>
      <c r="O41" s="78">
        <f t="shared" ref="O41:O43" ca="1" si="35">IF(L41&gt;0,N41*100/L41,0)</f>
        <v>64.774878113760494</v>
      </c>
      <c r="P41" s="78">
        <f t="shared" ref="P41:P43" ca="1" si="36">IF(M41&gt;0,N41*100/M41,0)</f>
        <v>86.355000887941756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750700</v>
      </c>
      <c r="M43" s="79">
        <f t="shared" ca="1" si="38"/>
        <v>563100</v>
      </c>
      <c r="N43" s="79">
        <f t="shared" ca="1" si="38"/>
        <v>486265.01</v>
      </c>
      <c r="O43" s="78">
        <f t="shared" ca="1" si="35"/>
        <v>64.774878113760494</v>
      </c>
      <c r="P43" s="78">
        <f t="shared" ca="1" si="36"/>
        <v>86.355000887941756</v>
      </c>
    </row>
    <row r="44" spans="1:16" ht="21.75" customHeight="1" x14ac:dyDescent="0.45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750700</v>
      </c>
      <c r="M45" s="50">
        <f ca="1">IFERROR(__xludf.DUMMYFUNCTION("IMPORTRANGE(""https://docs.google.com/spreadsheets/d/1Yj_ptqi66GCucihVvJfMjLAmec39IyEx_6qawtMGysU/edit?usp=sharing"",""สบก!Q21"")"),563100)</f>
        <v>563100</v>
      </c>
      <c r="N45" s="50">
        <f ca="1">IFERROR(__xludf.DUMMYFUNCTION("IMPORTRANGE(""https://docs.google.com/spreadsheets/d/1Yj_ptqi66GCucihVvJfMjLAmec39IyEx_6qawtMGysU/edit?usp=sharing"",""สบก!R21"")"),486265.01)</f>
        <v>486265.01</v>
      </c>
      <c r="O45" s="39">
        <f ca="1">IF(L45&gt;0,N45*100/L45,0)</f>
        <v>64.774878113760494</v>
      </c>
      <c r="P45" s="39">
        <f ca="1">IF(M45&gt;0,N45*100/M45,0)</f>
        <v>86.355000887941756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IFERROR(__xludf.DUMMYFUNCTION("IMPORTRANGE(""https://docs.google.com/spreadsheets/d/1Yj_ptqi66GCucihVvJfMjLAmec39IyEx_6qawtMGysU/edit?usp=sharing"",""สบก!M21"")"),750700)</f>
        <v>750700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IFERROR(__xludf.DUMMYFUNCTION("IMPORTRANGE(""https://docs.google.com/spreadsheets/d/1Yj_ptqi66GCucihVvJfMjLAmec39IyEx_6qawtMGysU/edit?usp=sharing"",""สบก!N21"")"),0)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IFERROR(__xludf.DUMMYFUNCTION("IMPORTRANGE(""https://docs.google.com/spreadsheets/d/1Yj_ptqi66GCucihVvJfMjLAmec39IyEx_6qawtMGysU/edit?usp=sharing"",""สบก!O21"")"),0)</f>
        <v>0</v>
      </c>
      <c r="M49" s="50"/>
      <c r="N49" s="50">
        <f ca="1">IFERROR(__xludf.DUMMYFUNCTION("IMPORTRANGE(""https://docs.google.com/spreadsheets/d/1Yj_ptqi66GCucihVvJfMjLAmec39IyEx_6qawtMGysU/edit?usp=sharing"",""สบก!S21"")"),0)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700000</v>
      </c>
      <c r="M53" s="121">
        <f t="shared" ca="1" si="39"/>
        <v>552872</v>
      </c>
      <c r="N53" s="121">
        <f t="shared" ca="1" si="39"/>
        <v>465196.39</v>
      </c>
      <c r="O53" s="120">
        <f t="shared" ref="O53:O55" ca="1" si="40">IF(L53&gt;0,N53*100/L53,0)</f>
        <v>66.456627142857144</v>
      </c>
      <c r="P53" s="120">
        <f t="shared" ref="P53:P55" ca="1" si="41">IF(M53&gt;0,N53*100/M53,0)</f>
        <v>84.141788696117729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700000</v>
      </c>
      <c r="M55" s="121">
        <f t="shared" ca="1" si="43"/>
        <v>552872</v>
      </c>
      <c r="N55" s="121">
        <f t="shared" ca="1" si="43"/>
        <v>465196.39</v>
      </c>
      <c r="O55" s="120">
        <f t="shared" ca="1" si="40"/>
        <v>66.456627142857144</v>
      </c>
      <c r="P55" s="120">
        <f t="shared" ca="1" si="41"/>
        <v>84.141788696117729</v>
      </c>
    </row>
    <row r="56" spans="1:16" ht="21.75" customHeight="1" x14ac:dyDescent="0.45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700000</v>
      </c>
      <c r="M57" s="50">
        <f ca="1">IFERROR(__xludf.DUMMYFUNCTION("IMPORTRANGE(""https://docs.google.com/spreadsheets/d/1Yj_ptqi66GCucihVvJfMjLAmec39IyEx_6qawtMGysU/edit?usp=sharing"",""สบก!Z21"")"),552872)</f>
        <v>552872</v>
      </c>
      <c r="N57" s="50">
        <f ca="1">IFERROR(__xludf.DUMMYFUNCTION("IMPORTRANGE(""https://docs.google.com/spreadsheets/d/1Yj_ptqi66GCucihVvJfMjLAmec39IyEx_6qawtMGysU/edit?usp=sharing"",""สบก!AA21"")"),465196.39)</f>
        <v>465196.39</v>
      </c>
      <c r="O57" s="39">
        <f ca="1">IF(L57&gt;0,N57*100/L57,0)</f>
        <v>66.456627142857144</v>
      </c>
      <c r="P57" s="39">
        <f ca="1">IF(M57&gt;0,N57*100/M57,0)</f>
        <v>84.141788696117729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IFERROR(__xludf.DUMMYFUNCTION("IMPORTRANGE(""https://docs.google.com/spreadsheets/d/1Yj_ptqi66GCucihVvJfMjLAmec39IyEx_6qawtMGysU/edit?usp=sharing"",""สบก!V21"")"),700000)</f>
        <v>700000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IFERROR(__xludf.DUMMYFUNCTION("IMPORTRANGE(""https://docs.google.com/spreadsheets/d/1Yj_ptqi66GCucihVvJfMjLAmec39IyEx_6qawtMGysU/edit?usp=sharing"",""สบก!W21"")"),0)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IFERROR(__xludf.DUMMYFUNCTION("IMPORTRANGE(""https://docs.google.com/spreadsheets/d/1Yj_ptqi66GCucihVvJfMjLAmec39IyEx_6qawtMGysU/edit?usp=sharing"",""สบก!X21"")"),0)</f>
        <v>0</v>
      </c>
      <c r="M61" s="50"/>
      <c r="N61" s="50">
        <f ca="1">IFERROR(__xludf.DUMMYFUNCTION("IMPORTRANGE(""https://docs.google.com/spreadsheets/d/1Yj_ptqi66GCucihVvJfMjLAmec39IyEx_6qawtMGysU/edit?usp=sharing"",""สบก!AB21"")"),0)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IFERROR(__xludf.DUMMYFUNCTION("IMPORTRANGE(""https://docs.google.com/spreadsheets/d/11923uPwbBZFjjGgGUA6NLw09EwE0CqkOc4q9oUmW1yo/edit?usp=sharing"",""เชียงราย!I9"")"),1)</f>
        <v>1</v>
      </c>
      <c r="J64" s="142">
        <f ca="1">IFERROR(__xludf.DUMMYFUNCTION("IMPORTRANGE(""https://docs.google.com/spreadsheets/d/11923uPwbBZFjjGgGUA6NLw09EwE0CqkOc4q9oUmW1yo/edit?usp=sharing"",""เชียงราย!J9"")"),1)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IFERROR(__xludf.DUMMYFUNCTION("IMPORTRANGE(""https://docs.google.com/spreadsheets/d/11923uPwbBZFjjGgGUA6NLw09EwE0CqkOc4q9oUmW1yo/edit?usp=sharing"",""เชียงราย!I10"")"),60)</f>
        <v>60</v>
      </c>
      <c r="J65" s="142">
        <f ca="1">IFERROR(__xludf.DUMMYFUNCTION("IMPORTRANGE(""https://docs.google.com/spreadsheets/d/11923uPwbBZFjjGgGUA6NLw09EwE0CqkOc4q9oUmW1yo/edit?usp=sharing"",""เชียงราย!J10"")"),60)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548000</v>
      </c>
      <c r="M66" s="152">
        <f t="shared" ca="1" si="45"/>
        <v>475620</v>
      </c>
      <c r="N66" s="152">
        <f t="shared" ca="1" si="45"/>
        <v>361910</v>
      </c>
      <c r="O66" s="151">
        <f t="shared" ref="O66:O68" ca="1" si="46">IF(L66&gt;0,N66*100/L66,0)</f>
        <v>66.041970802919707</v>
      </c>
      <c r="P66" s="151">
        <f t="shared" ref="P66:P68" ca="1" si="47">IF(M66&gt;0,N66*100/M66,0)</f>
        <v>76.092258525713802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548000</v>
      </c>
      <c r="M68" s="88">
        <f t="shared" ca="1" si="49"/>
        <v>475620</v>
      </c>
      <c r="N68" s="88">
        <f t="shared" ca="1" si="49"/>
        <v>361910</v>
      </c>
      <c r="O68" s="156">
        <f t="shared" ca="1" si="46"/>
        <v>66.041970802919707</v>
      </c>
      <c r="P68" s="156">
        <f t="shared" ca="1" si="47"/>
        <v>76.092258525713802</v>
      </c>
    </row>
    <row r="69" spans="1:16" ht="21.75" customHeight="1" x14ac:dyDescent="0.45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548000</v>
      </c>
      <c r="M70" s="167">
        <f ca="1">IFERROR(__xludf.DUMMYFUNCTION("IMPORTRANGE(""https://docs.google.com/spreadsheets/d/1Yj_ptqi66GCucihVvJfMjLAmec39IyEx_6qawtMGysU/edit?usp=sharing"",""สบก!AI21"")"),475620)</f>
        <v>475620</v>
      </c>
      <c r="N70" s="168">
        <f ca="1">IFERROR(__xludf.DUMMYFUNCTION("IMPORTRANGE(""https://docs.google.com/spreadsheets/d/1Yj_ptqi66GCucihVvJfMjLAmec39IyEx_6qawtMGysU/edit?usp=sharing"",""สบก!AJ21"")"),361910)</f>
        <v>361910</v>
      </c>
      <c r="O70" s="168">
        <f ca="1">IF(L70&gt;0,N70*100/L70,0)</f>
        <v>66.041970802919707</v>
      </c>
      <c r="P70" s="168">
        <f ca="1">IF(M70&gt;0,N70*100/M70,0)</f>
        <v>76.092258525713802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IFERROR(__xludf.DUMMYFUNCTION("IMPORTRANGE(""https://docs.google.com/spreadsheets/d/1Yj_ptqi66GCucihVvJfMjLAmec39IyEx_6qawtMGysU/edit?usp=sharing"",""สบก!AE21"")"),0)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IFERROR(__xludf.DUMMYFUNCTION("IMPORTRANGE(""https://docs.google.com/spreadsheets/d/1Yj_ptqi66GCucihVvJfMjLAmec39IyEx_6qawtMGysU/edit?usp=sharing"",""สบก!AF21"")"),548000)</f>
        <v>548000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IFERROR(__xludf.DUMMYFUNCTION("IMPORTRANGE(""https://docs.google.com/spreadsheets/d/1Yj_ptqi66GCucihVvJfMjLAmec39IyEx_6qawtMGysU/edit?usp=sharing"",""สบก!AG21"")"),0)</f>
        <v>0</v>
      </c>
      <c r="M74" s="50"/>
      <c r="N74" s="50">
        <f ca="1">IFERROR(__xludf.DUMMYFUNCTION("IMPORTRANGE(""https://docs.google.com/spreadsheets/d/1Yj_ptqi66GCucihVvJfMjLAmec39IyEx_6qawtMGysU/edit?usp=sharing"",""สบก!AK21"")"),0)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IFERROR(__xludf.DUMMYFUNCTION("IMPORTRANGE(""https://docs.google.com/spreadsheets/d/11923uPwbBZFjjGgGUA6NLw09EwE0CqkOc4q9oUmW1yo/edit?usp=sharing"",""เชียงราย!J16"")"),0)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IFERROR(__xludf.DUMMYFUNCTION("IMPORTRANGE(""https://docs.google.com/spreadsheets/d/11923uPwbBZFjjGgGUA6NLw09EwE0CqkOc4q9oUmW1yo/edit?usp=sharing"",""เชียงราย!J17"")"),1)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IFERROR(__xludf.DUMMYFUNCTION("IMPORTRANGE(""https://docs.google.com/spreadsheets/d/11923uPwbBZFjjGgGUA6NLw09EwE0CqkOc4q9oUmW1yo/edit?usp=sharing"",""เชียงราย!J18"")"),1)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IFERROR(__xludf.DUMMYFUNCTION("IMPORTRANGE(""https://docs.google.com/spreadsheets/d/11923uPwbBZFjjGgGUA6NLw09EwE0CqkOc4q9oUmW1yo/edit?usp=sharing"",""เชียงราย!J19"")"),1)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IFERROR(__xludf.DUMMYFUNCTION("IMPORTRANGE(""https://docs.google.com/spreadsheets/d/11923uPwbBZFjjGgGUA6NLw09EwE0CqkOc4q9oUmW1yo/edit?usp=sharing"",""เชียงราย!I20"")"),1)</f>
        <v>1</v>
      </c>
      <c r="J80" s="200">
        <f ca="1">IFERROR(__xludf.DUMMYFUNCTION("IMPORTRANGE(""https://docs.google.com/spreadsheets/d/11923uPwbBZFjjGgGUA6NLw09EwE0CqkOc4q9oUmW1yo/edit?usp=sharing"",""เชียงราย!J20"")"),1)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IFERROR(__xludf.DUMMYFUNCTION("IMPORTRANGE(""https://docs.google.com/spreadsheets/d/11923uPwbBZFjjGgGUA6NLw09EwE0CqkOc4q9oUmW1yo/edit?usp=sharing"",""เชียงราย!I21"")"),60)</f>
        <v>60</v>
      </c>
      <c r="J81" s="200">
        <f ca="1">IFERROR(__xludf.DUMMYFUNCTION("IMPORTRANGE(""https://docs.google.com/spreadsheets/d/11923uPwbBZFjjGgGUA6NLw09EwE0CqkOc4q9oUmW1yo/edit?usp=sharing"",""เชียงราย!J21"")"),60)</f>
        <v>60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IFERROR(__xludf.DUMMYFUNCTION("IMPORTRANGE(""https://docs.google.com/spreadsheets/d/11923uPwbBZFjjGgGUA6NLw09EwE0CqkOc4q9oUmW1yo/edit?usp=sharing"",""เชียงราย!I22"")"),1)</f>
        <v>1</v>
      </c>
      <c r="J82" s="203">
        <f ca="1">IFERROR(__xludf.DUMMYFUNCTION("IMPORTRANGE(""https://docs.google.com/spreadsheets/d/11923uPwbBZFjjGgGUA6NLw09EwE0CqkOc4q9oUmW1yo/edit?usp=sharing"",""เชียงราย!J22"")"),1)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IFERROR(__xludf.DUMMYFUNCTION("IMPORTRANGE(""https://docs.google.com/spreadsheets/d/11923uPwbBZFjjGgGUA6NLw09EwE0CqkOc4q9oUmW1yo/edit?usp=sharing"",""เชียงราย!I23"")"),60)</f>
        <v>60</v>
      </c>
      <c r="J83" s="203">
        <f ca="1">IFERROR(__xludf.DUMMYFUNCTION("IMPORTRANGE(""https://docs.google.com/spreadsheets/d/11923uPwbBZFjjGgGUA6NLw09EwE0CqkOc4q9oUmW1yo/edit?usp=sharing"",""เชียงราย!J23"")"),60)</f>
        <v>60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IFERROR(__xludf.DUMMYFUNCTION("IMPORTRANGE(""https://docs.google.com/spreadsheets/d/11923uPwbBZFjjGgGUA6NLw09EwE0CqkOc4q9oUmW1yo/edit?usp=sharing"",""เชียงราย!I24"")"),0)</f>
        <v>0</v>
      </c>
      <c r="J84" s="188">
        <f ca="1">IFERROR(__xludf.DUMMYFUNCTION("IMPORTRANGE(""https://docs.google.com/spreadsheets/d/11923uPwbBZFjjGgGUA6NLw09EwE0CqkOc4q9oUmW1yo/edit?usp=sharing"",""เชียงราย!J24"")"),0)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IFERROR(__xludf.DUMMYFUNCTION("IMPORTRANGE(""https://docs.google.com/spreadsheets/d/11923uPwbBZFjjGgGUA6NLw09EwE0CqkOc4q9oUmW1yo/edit?usp=sharing"",""เชียงราย!I25"")"),0)</f>
        <v>0</v>
      </c>
      <c r="J85" s="188">
        <f ca="1">IFERROR(__xludf.DUMMYFUNCTION("IMPORTRANGE(""https://docs.google.com/spreadsheets/d/11923uPwbBZFjjGgGUA6NLw09EwE0CqkOc4q9oUmW1yo/edit?usp=sharing"",""เชียงราย!J25"")"),0)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IFERROR(__xludf.DUMMYFUNCTION("IMPORTRANGE(""https://docs.google.com/spreadsheets/d/11923uPwbBZFjjGgGUA6NLw09EwE0CqkOc4q9oUmW1yo/edit?usp=sharing"",""เชียงราย!I26"")"),0)</f>
        <v>0</v>
      </c>
      <c r="J86" s="203">
        <f ca="1">IFERROR(__xludf.DUMMYFUNCTION("IMPORTRANGE(""https://docs.google.com/spreadsheets/d/11923uPwbBZFjjGgGUA6NLw09EwE0CqkOc4q9oUmW1yo/edit?usp=sharing"",""เชียงราย!J26"")"),0)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IFERROR(__xludf.DUMMYFUNCTION("IMPORTRANGE(""https://docs.google.com/spreadsheets/d/11923uPwbBZFjjGgGUA6NLw09EwE0CqkOc4q9oUmW1yo/edit?usp=sharing"",""เชียงราย!I27"")"),0)</f>
        <v>0</v>
      </c>
      <c r="J87" s="203">
        <f ca="1">IFERROR(__xludf.DUMMYFUNCTION("IMPORTRANGE(""https://docs.google.com/spreadsheets/d/11923uPwbBZFjjGgGUA6NLw09EwE0CqkOc4q9oUmW1yo/edit?usp=sharing"",""เชียงราย!J27"")"),0)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IFERROR(__xludf.DUMMYFUNCTION("IMPORTRANGE(""https://docs.google.com/spreadsheets/d/11923uPwbBZFjjGgGUA6NLw09EwE0CqkOc4q9oUmW1yo/edit?usp=sharing"",""เชียงราย!I28"")"),1)</f>
        <v>1</v>
      </c>
      <c r="J88" s="203">
        <f ca="1">IFERROR(__xludf.DUMMYFUNCTION("IMPORTRANGE(""https://docs.google.com/spreadsheets/d/11923uPwbBZFjjGgGUA6NLw09EwE0CqkOc4q9oUmW1yo/edit?usp=sharing"",""เชียงราย!J28"")"),1)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IFERROR(__xludf.DUMMYFUNCTION("IMPORTRANGE(""https://docs.google.com/spreadsheets/d/11923uPwbBZFjjGgGUA6NLw09EwE0CqkOc4q9oUmW1yo/edit?usp=sharing"",""เชียงราย!J29"")"),0)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IFERROR(__xludf.DUMMYFUNCTION("IMPORTRANGE(""https://docs.google.com/spreadsheets/d/11923uPwbBZFjjGgGUA6NLw09EwE0CqkOc4q9oUmW1yo/edit?usp=sharing"",""เชียงราย!J30"")"),0)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IFERROR(__xludf.DUMMYFUNCTION("IMPORTRANGE(""https://docs.google.com/spreadsheets/d/11923uPwbBZFjjGgGUA6NLw09EwE0CqkOc4q9oUmW1yo/edit?usp=sharing"",""เชียงราย!I32"")"),7)</f>
        <v>7</v>
      </c>
      <c r="J92" s="142">
        <f ca="1">IFERROR(__xludf.DUMMYFUNCTION("IMPORTRANGE(""https://docs.google.com/spreadsheets/d/11923uPwbBZFjjGgGUA6NLw09EwE0CqkOc4q9oUmW1yo/edit?usp=sharing"",""เชียงราย!J32"")"),7)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IFERROR(__xludf.DUMMYFUNCTION("IMPORTRANGE(""https://docs.google.com/spreadsheets/d/11923uPwbBZFjjGgGUA6NLw09EwE0CqkOc4q9oUmW1yo/edit?usp=sharing"",""เชียงราย!I33"")"),2)</f>
        <v>2</v>
      </c>
      <c r="J93" s="142">
        <f ca="1">IFERROR(__xludf.DUMMYFUNCTION("IMPORTRANGE(""https://docs.google.com/spreadsheets/d/11923uPwbBZFjjGgGUA6NLw09EwE0CqkOc4q9oUmW1yo/edit?usp=sharing"",""เชียงราย!J33"")"),2)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298915</v>
      </c>
      <c r="N94" s="152">
        <f t="shared" ca="1" si="52"/>
        <v>217115</v>
      </c>
      <c r="O94" s="151">
        <f t="shared" ref="O94:O96" ca="1" si="53">IF(L94&gt;0,N94*100/L94,0)</f>
        <v>68.069663907700019</v>
      </c>
      <c r="P94" s="151">
        <f t="shared" ref="P94:P96" ca="1" si="54">IF(M94&gt;0,N94*100/M94,0)</f>
        <v>72.634360938728406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298915</v>
      </c>
      <c r="N96" s="88">
        <f t="shared" ca="1" si="56"/>
        <v>217115</v>
      </c>
      <c r="O96" s="156">
        <f t="shared" ca="1" si="53"/>
        <v>68.069663907700019</v>
      </c>
      <c r="P96" s="156">
        <f t="shared" ca="1" si="54"/>
        <v>72.634360938728406</v>
      </c>
    </row>
    <row r="97" spans="1:16" ht="21.75" customHeight="1" x14ac:dyDescent="0.45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IFERROR(__xludf.DUMMYFUNCTION("IMPORTRANGE(""https://docs.google.com/spreadsheets/d/1Yj_ptqi66GCucihVvJfMjLAmec39IyEx_6qawtMGysU/edit?usp=sharing"",""สบก!AR21"")"),114115)</f>
        <v>114115</v>
      </c>
      <c r="N98" s="168">
        <f ca="1">IFERROR(__xludf.DUMMYFUNCTION("IMPORTRANGE(""https://docs.google.com/spreadsheets/d/1Yj_ptqi66GCucihVvJfMjLAmec39IyEx_6qawtMGysU/edit?usp=sharing"",""สบก!AS21"")"),32315)</f>
        <v>32315</v>
      </c>
      <c r="O98" s="168">
        <f ca="1">IF(L98&gt;0,N98*100/L98,0)</f>
        <v>24.086911150864641</v>
      </c>
      <c r="P98" s="168">
        <f ca="1">IF(M98&gt;0,N98*100/M98,0)</f>
        <v>28.317924900319852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IFERROR(__xludf.DUMMYFUNCTION("IMPORTRANGE(""https://docs.google.com/spreadsheets/d/1Yj_ptqi66GCucihVvJfMjLAmec39IyEx_6qawtMGysU/edit?usp=sharing"",""สบก!AN21"")"),0)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IFERROR(__xludf.DUMMYFUNCTION("IMPORTRANGE(""https://docs.google.com/spreadsheets/d/1Yj_ptqi66GCucihVvJfMjLAmec39IyEx_6qawtMGysU/edit?usp=sharing"",""สบก!AO21"")"),134160)</f>
        <v>134160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IFERROR(__xludf.DUMMYFUNCTION("IMPORTRANGE(""https://docs.google.com/spreadsheets/d/1Yj_ptqi66GCucihVvJfMjLAmec39IyEx_6qawtMGysU/edit?usp=sharing"",""สบก!AP21"")"),184800)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IFERROR(__xludf.DUMMYFUNCTION("IMPORTRANGE(""https://docs.google.com/spreadsheets/d/1Yj_ptqi66GCucihVvJfMjLAmec39IyEx_6qawtMGysU/edit?usp=sharing"",""สบก!AT21"")"),184800)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IFERROR(__xludf.DUMMYFUNCTION("IMPORTRANGE(""https://docs.google.com/spreadsheets/d/11923uPwbBZFjjGgGUA6NLw09EwE0CqkOc4q9oUmW1yo/edit?usp=sharing"",""เชียงราย!J39"")"),0)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IFERROR(__xludf.DUMMYFUNCTION("IMPORTRANGE(""https://docs.google.com/spreadsheets/d/11923uPwbBZFjjGgGUA6NLw09EwE0CqkOc4q9oUmW1yo/edit?usp=sharing"",""เชียงราย!J40"")"),1)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IFERROR(__xludf.DUMMYFUNCTION("IMPORTRANGE(""https://docs.google.com/spreadsheets/d/11923uPwbBZFjjGgGUA6NLw09EwE0CqkOc4q9oUmW1yo/edit?usp=sharing"",""เชียงราย!J41"")"),1)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IFERROR(__xludf.DUMMYFUNCTION("IMPORTRANGE(""https://docs.google.com/spreadsheets/d/11923uPwbBZFjjGgGUA6NLw09EwE0CqkOc4q9oUmW1yo/edit?usp=sharing"",""เชียงราย!J42"")"),1)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IFERROR(__xludf.DUMMYFUNCTION("IMPORTRANGE(""https://docs.google.com/spreadsheets/d/11923uPwbBZFjjGgGUA6NLw09EwE0CqkOc4q9oUmW1yo/edit?usp=sharing"",""เชียงราย!I43"")"),1)</f>
        <v>1</v>
      </c>
      <c r="J108" s="203">
        <f ca="1">IFERROR(__xludf.DUMMYFUNCTION("IMPORTRANGE(""https://docs.google.com/spreadsheets/d/11923uPwbBZFjjGgGUA6NLw09EwE0CqkOc4q9oUmW1yo/edit?usp=sharing"",""เชียงราย!J43"")"),1)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IFERROR(__xludf.DUMMYFUNCTION("IMPORTRANGE(""https://docs.google.com/spreadsheets/d/11923uPwbBZFjjGgGUA6NLw09EwE0CqkOc4q9oUmW1yo/edit?usp=sharing"",""เชียงราย!I44"")"),7)</f>
        <v>7</v>
      </c>
      <c r="J109" s="203">
        <f ca="1">IFERROR(__xludf.DUMMYFUNCTION("IMPORTRANGE(""https://docs.google.com/spreadsheets/d/11923uPwbBZFjjGgGUA6NLw09EwE0CqkOc4q9oUmW1yo/edit?usp=sharing"",""เชียงราย!J44"")"),7)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IFERROR(__xludf.DUMMYFUNCTION("IMPORTRANGE(""https://docs.google.com/spreadsheets/d/11923uPwbBZFjjGgGUA6NLw09EwE0CqkOc4q9oUmW1yo/edit?usp=sharing"",""เชียงราย!I45"")"),7)</f>
        <v>7</v>
      </c>
      <c r="J110" s="203">
        <f ca="1">IFERROR(__xludf.DUMMYFUNCTION("IMPORTRANGE(""https://docs.google.com/spreadsheets/d/11923uPwbBZFjjGgGUA6NLw09EwE0CqkOc4q9oUmW1yo/edit?usp=sharing"",""เชียงราย!J45"")"),7)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IFERROR(__xludf.DUMMYFUNCTION("IMPORTRANGE(""https://docs.google.com/spreadsheets/d/11923uPwbBZFjjGgGUA6NLw09EwE0CqkOc4q9oUmW1yo/edit?usp=sharing"",""เชียงราย!I46"")"),7)</f>
        <v>7</v>
      </c>
      <c r="J111" s="203">
        <f ca="1">IFERROR(__xludf.DUMMYFUNCTION("IMPORTRANGE(""https://docs.google.com/spreadsheets/d/11923uPwbBZFjjGgGUA6NLw09EwE0CqkOc4q9oUmW1yo/edit?usp=sharing"",""เชียงราย!J46"")"),7)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IFERROR(__xludf.DUMMYFUNCTION("IMPORTRANGE(""https://docs.google.com/spreadsheets/d/11923uPwbBZFjjGgGUA6NLw09EwE0CqkOc4q9oUmW1yo/edit?usp=sharing"",""เชียงราย!I47"")"),7)</f>
        <v>7</v>
      </c>
      <c r="J112" s="203">
        <f ca="1">IFERROR(__xludf.DUMMYFUNCTION("IMPORTRANGE(""https://docs.google.com/spreadsheets/d/11923uPwbBZFjjGgGUA6NLw09EwE0CqkOc4q9oUmW1yo/edit?usp=sharing"",""เชียงราย!J47"")"),7)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IFERROR(__xludf.DUMMYFUNCTION("IMPORTRANGE(""https://docs.google.com/spreadsheets/d/11923uPwbBZFjjGgGUA6NLw09EwE0CqkOc4q9oUmW1yo/edit?usp=sharing"",""เชียงราย!I48"")"),2)</f>
        <v>2</v>
      </c>
      <c r="J113" s="203">
        <f ca="1">IFERROR(__xludf.DUMMYFUNCTION("IMPORTRANGE(""https://docs.google.com/spreadsheets/d/11923uPwbBZFjjGgGUA6NLw09EwE0CqkOc4q9oUmW1yo/edit?usp=sharing"",""เชียงราย!J48"")"),2)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IFERROR(__xludf.DUMMYFUNCTION("IMPORTRANGE(""https://docs.google.com/spreadsheets/d/11923uPwbBZFjjGgGUA6NLw09EwE0CqkOc4q9oUmW1yo/edit?usp=sharing"",""เชียงราย!J49"")"),0)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IFERROR(__xludf.DUMMYFUNCTION("IMPORTRANGE(""https://docs.google.com/spreadsheets/d/11923uPwbBZFjjGgGUA6NLw09EwE0CqkOc4q9oUmW1yo/edit?usp=sharing"",""เชียงราย!J50"")"),0)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IFERROR(__xludf.DUMMYFUNCTION("IMPORTRANGE(""https://docs.google.com/spreadsheets/d/11923uPwbBZFjjGgGUA6NLw09EwE0CqkOc4q9oUmW1yo/edit?usp=sharing"",""เชียงราย!I52"")"),0)</f>
        <v>0</v>
      </c>
      <c r="J117" s="142">
        <f ca="1">IFERROR(__xludf.DUMMYFUNCTION("IMPORTRANGE(""https://docs.google.com/spreadsheets/d/11923uPwbBZFjjGgGUA6NLw09EwE0CqkOc4q9oUmW1yo/edit?usp=sharing"",""เชียงราย!J52"")"),0)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IFERROR(__xludf.DUMMYFUNCTION("IMPORTRANGE(""https://docs.google.com/spreadsheets/d/1Yj_ptqi66GCucihVvJfMjLAmec39IyEx_6qawtMGysU/edit?usp=sharing"",""สบก!BA21"")"),0)</f>
        <v>0</v>
      </c>
      <c r="N122" s="168">
        <f ca="1">IFERROR(__xludf.DUMMYFUNCTION("IMPORTRANGE(""https://docs.google.com/spreadsheets/d/1Yj_ptqi66GCucihVvJfMjLAmec39IyEx_6qawtMGysU/edit?usp=sharing"",""สบก!BB21"")"),0)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IFERROR(__xludf.DUMMYFUNCTION("IMPORTRANGE(""https://docs.google.com/spreadsheets/d/1Yj_ptqi66GCucihVvJfMjLAmec39IyEx_6qawtMGysU/edit?usp=sharing"",""สบก!AW21"")"),0)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IFERROR(__xludf.DUMMYFUNCTION("IMPORTRANGE(""https://docs.google.com/spreadsheets/d/1Yj_ptqi66GCucihVvJfMjLAmec39IyEx_6qawtMGysU/edit?usp=sharing"",""สบก!AX21"")"),0)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IFERROR(__xludf.DUMMYFUNCTION("IMPORTRANGE(""https://docs.google.com/spreadsheets/d/1Yj_ptqi66GCucihVvJfMjLAmec39IyEx_6qawtMGysU/edit?usp=sharing"",""สบก!AY21"")"),0)</f>
        <v>0</v>
      </c>
      <c r="M126" s="50"/>
      <c r="N126" s="50">
        <f ca="1">IFERROR(__xludf.DUMMYFUNCTION("IMPORTRANGE(""https://docs.google.com/spreadsheets/d/1Yj_ptqi66GCucihVvJfMjLAmec39IyEx_6qawtMGysU/edit?usp=sharing"",""สบก!BC21"")"),0)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263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IFERROR(__xludf.DUMMYFUNCTION("IMPORTRANGE(""https://docs.google.com/spreadsheets/d/11923uPwbBZFjjGgGUA6NLw09EwE0CqkOc4q9oUmW1yo/edit?usp=sharing"",""เชียงราย!J58"")"),0)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IFERROR(__xludf.DUMMYFUNCTION("IMPORTRANGE(""https://docs.google.com/spreadsheets/d/11923uPwbBZFjjGgGUA6NLw09EwE0CqkOc4q9oUmW1yo/edit?usp=sharing"",""เชียงราย!J59"")"),0)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IFERROR(__xludf.DUMMYFUNCTION("IMPORTRANGE(""https://docs.google.com/spreadsheets/d/11923uPwbBZFjjGgGUA6NLw09EwE0CqkOc4q9oUmW1yo/edit?usp=sharing"",""เชียงราย!J60"")"),0)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IFERROR(__xludf.DUMMYFUNCTION("IMPORTRANGE(""https://docs.google.com/spreadsheets/d/11923uPwbBZFjjGgGUA6NLw09EwE0CqkOc4q9oUmW1yo/edit?usp=sharing"",""เชียงราย!J61"")"),0)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IFERROR(__xludf.DUMMYFUNCTION("IMPORTRANGE(""https://docs.google.com/spreadsheets/d/11923uPwbBZFjjGgGUA6NLw09EwE0CqkOc4q9oUmW1yo/edit?usp=sharing"",""เชียงราย!I62"")"),0)</f>
        <v>0</v>
      </c>
      <c r="J132" s="203">
        <f ca="1">IFERROR(__xludf.DUMMYFUNCTION("IMPORTRANGE(""https://docs.google.com/spreadsheets/d/11923uPwbBZFjjGgGUA6NLw09EwE0CqkOc4q9oUmW1yo/edit?usp=sharing"",""เชียงราย!J62"")"),0)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IFERROR(__xludf.DUMMYFUNCTION("IMPORTRANGE(""https://docs.google.com/spreadsheets/d/11923uPwbBZFjjGgGUA6NLw09EwE0CqkOc4q9oUmW1yo/edit?usp=sharing"",""เชียงราย!I63"")"),0)</f>
        <v>0</v>
      </c>
      <c r="J133" s="203">
        <f ca="1">IFERROR(__xludf.DUMMYFUNCTION("IMPORTRANGE(""https://docs.google.com/spreadsheets/d/11923uPwbBZFjjGgGUA6NLw09EwE0CqkOc4q9oUmW1yo/edit?usp=sharing"",""เชียงราย!J63"")"),0)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IFERROR(__xludf.DUMMYFUNCTION("IMPORTRANGE(""https://docs.google.com/spreadsheets/d/11923uPwbBZFjjGgGUA6NLw09EwE0CqkOc4q9oUmW1yo/edit?usp=sharing"",""เชียงราย!J64"")"),0)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IFERROR(__xludf.DUMMYFUNCTION("IMPORTRANGE(""https://docs.google.com/spreadsheets/d/11923uPwbBZFjjGgGUA6NLw09EwE0CqkOc4q9oUmW1yo/edit?usp=sharing"",""เชียงราย!J65"")"),0)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IFERROR(__xludf.DUMMYFUNCTION("IMPORTRANGE(""https://docs.google.com/spreadsheets/d/11923uPwbBZFjjGgGUA6NLw09EwE0CqkOc4q9oUmW1yo/edit?usp=sharing"",""เชียงราย!I68"")"),15)</f>
        <v>15</v>
      </c>
      <c r="J138" s="267">
        <f ca="1">IFERROR(__xludf.DUMMYFUNCTION("IMPORTRANGE(""https://docs.google.com/spreadsheets/d/11923uPwbBZFjjGgGUA6NLw09EwE0CqkOc4q9oUmW1yo/edit?usp=sharing"",""เชียงราย!J68"")"),15)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579900</v>
      </c>
      <c r="M140" s="152">
        <f t="shared" ca="1" si="64"/>
        <v>487880</v>
      </c>
      <c r="N140" s="152">
        <f t="shared" ca="1" si="64"/>
        <v>385674.47</v>
      </c>
      <c r="O140" s="151">
        <f t="shared" ref="O140:O142" ca="1" si="65">IF(L140&gt;0,N140*100/L140,0)</f>
        <v>66.507065011208823</v>
      </c>
      <c r="P140" s="151">
        <f t="shared" ref="P140:P142" ca="1" si="66">IF(M140&gt;0,N140*100/M140,0)</f>
        <v>79.051092481757806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579900</v>
      </c>
      <c r="M142" s="88">
        <f t="shared" ca="1" si="68"/>
        <v>487880</v>
      </c>
      <c r="N142" s="88">
        <f t="shared" ca="1" si="68"/>
        <v>385674.47</v>
      </c>
      <c r="O142" s="156">
        <f t="shared" ca="1" si="65"/>
        <v>66.507065011208823</v>
      </c>
      <c r="P142" s="156">
        <f t="shared" ca="1" si="66"/>
        <v>79.051092481757806</v>
      </c>
    </row>
    <row r="143" spans="1:16" ht="21.75" customHeight="1" x14ac:dyDescent="0.45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579900</v>
      </c>
      <c r="M144" s="167">
        <f ca="1">IFERROR(__xludf.DUMMYFUNCTION("IMPORTRANGE(""https://docs.google.com/spreadsheets/d/1Yj_ptqi66GCucihVvJfMjLAmec39IyEx_6qawtMGysU/edit?usp=sharing"",""สบก!BJ21"")"),487880)</f>
        <v>487880</v>
      </c>
      <c r="N144" s="168">
        <f ca="1">IFERROR(__xludf.DUMMYFUNCTION("IMPORTRANGE(""https://docs.google.com/spreadsheets/d/1Yj_ptqi66GCucihVvJfMjLAmec39IyEx_6qawtMGysU/edit?usp=sharing"",""สบก!BK21"")"),385674.47)</f>
        <v>385674.47</v>
      </c>
      <c r="O144" s="168">
        <f ca="1">IF(L144&gt;0,N144*100/L144,0)</f>
        <v>66.507065011208823</v>
      </c>
      <c r="P144" s="168">
        <f ca="1">IF(M144&gt;0,N144*100/M144,0)</f>
        <v>79.051092481757806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IFERROR(__xludf.DUMMYFUNCTION("IMPORTRANGE(""https://docs.google.com/spreadsheets/d/1Yj_ptqi66GCucihVvJfMjLAmec39IyEx_6qawtMGysU/edit?usp=sharing"",""สบก!BF21"")"),463400)</f>
        <v>463400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IFERROR(__xludf.DUMMYFUNCTION("IMPORTRANGE(""https://docs.google.com/spreadsheets/d/1Yj_ptqi66GCucihVvJfMjLAmec39IyEx_6qawtMGysU/edit?usp=sharing"",""สบก!BG21"")"),116500)</f>
        <v>116500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IFERROR(__xludf.DUMMYFUNCTION("IMPORTRANGE(""https://docs.google.com/spreadsheets/d/1Yj_ptqi66GCucihVvJfMjLAmec39IyEx_6qawtMGysU/edit?usp=sharing"",""สบก!BH21"")"),0)</f>
        <v>0</v>
      </c>
      <c r="M148" s="50"/>
      <c r="N148" s="50">
        <f ca="1">IFERROR(__xludf.DUMMYFUNCTION("IMPORTRANGE(""https://docs.google.com/spreadsheets/d/1Yj_ptqi66GCucihVvJfMjLAmec39IyEx_6qawtMGysU/edit?usp=sharing"",""สบก!BL21"")"),0)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IFERROR(__xludf.DUMMYFUNCTION("IMPORTRANGE(""https://docs.google.com/spreadsheets/d/11923uPwbBZFjjGgGUA6NLw09EwE0CqkOc4q9oUmW1yo/edit?usp=sharing"",""เชียงราย!I74"")"),4)</f>
        <v>4</v>
      </c>
      <c r="J149" s="275">
        <f ca="1">IFERROR(__xludf.DUMMYFUNCTION("IMPORTRANGE(""https://docs.google.com/spreadsheets/d/11923uPwbBZFjjGgGUA6NLw09EwE0CqkOc4q9oUmW1yo/edit?usp=sharing"",""เชียงราย!J74"")"),2)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IFERROR(__xludf.DUMMYFUNCTION("IMPORTRANGE(""https://docs.google.com/spreadsheets/d/11923uPwbBZFjjGgGUA6NLw09EwE0CqkOc4q9oUmW1yo/edit?usp=sharing"",""เชียงราย!J79"")"),0)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IFERROR(__xludf.DUMMYFUNCTION("IMPORTRANGE(""https://docs.google.com/spreadsheets/d/11923uPwbBZFjjGgGUA6NLw09EwE0CqkOc4q9oUmW1yo/edit?usp=sharing"",""เชียงราย!J80"")"),1)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IFERROR(__xludf.DUMMYFUNCTION("IMPORTRANGE(""https://docs.google.com/spreadsheets/d/11923uPwbBZFjjGgGUA6NLw09EwE0CqkOc4q9oUmW1yo/edit?usp=sharing"",""เชียงราย!J81"")"),1)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IFERROR(__xludf.DUMMYFUNCTION("IMPORTRANGE(""https://docs.google.com/spreadsheets/d/11923uPwbBZFjjGgGUA6NLw09EwE0CqkOc4q9oUmW1yo/edit?usp=sharing"",""เชียงราย!J82"")"),1)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IFERROR(__xludf.DUMMYFUNCTION("IMPORTRANGE(""https://docs.google.com/spreadsheets/d/11923uPwbBZFjjGgGUA6NLw09EwE0CqkOc4q9oUmW1yo/edit?usp=sharing"",""เชียงราย!I83"")"),4)</f>
        <v>4</v>
      </c>
      <c r="J158" s="188">
        <f ca="1">IFERROR(__xludf.DUMMYFUNCTION("IMPORTRANGE(""https://docs.google.com/spreadsheets/d/11923uPwbBZFjjGgGUA6NLw09EwE0CqkOc4q9oUmW1yo/edit?usp=sharing"",""เชียงราย!J83"")"),2)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IFERROR(__xludf.DUMMYFUNCTION("IMPORTRANGE(""https://docs.google.com/spreadsheets/d/11923uPwbBZFjjGgGUA6NLw09EwE0CqkOc4q9oUmW1yo/edit?usp=sharing"",""เชียงราย!J84"")"),23)</f>
        <v>23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IFERROR(__xludf.DUMMYFUNCTION("IMPORTRANGE(""https://docs.google.com/spreadsheets/d/11923uPwbBZFjjGgGUA6NLw09EwE0CqkOc4q9oUmW1yo/edit?usp=sharing"",""เชียงราย!J85"")"),21)</f>
        <v>21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IFERROR(__xludf.DUMMYFUNCTION("IMPORTRANGE(""https://docs.google.com/spreadsheets/d/11923uPwbBZFjjGgGUA6NLw09EwE0CqkOc4q9oUmW1yo/edit?usp=sharing"",""เชียงราย!J86"")"),2)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IFERROR(__xludf.DUMMYFUNCTION("IMPORTRANGE(""https://docs.google.com/spreadsheets/d/11923uPwbBZFjjGgGUA6NLw09EwE0CqkOc4q9oUmW1yo/edit?usp=sharing"",""เชียงราย!J87"")"),0)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IFERROR(__xludf.DUMMYFUNCTION("IMPORTRANGE(""https://docs.google.com/spreadsheets/d/11923uPwbBZFjjGgGUA6NLw09EwE0CqkOc4q9oUmW1yo/edit?usp=sharing"",""เชียงราย!J88"")"),0)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IFERROR(__xludf.DUMMYFUNCTION("IMPORTRANGE(""https://docs.google.com/spreadsheets/d/11923uPwbBZFjjGgGUA6NLw09EwE0CqkOc4q9oUmW1yo/edit?usp=sharing"",""เชียงราย!I89"")"),5)</f>
        <v>5</v>
      </c>
      <c r="J164" s="284">
        <f ca="1">IFERROR(__xludf.DUMMYFUNCTION("IMPORTRANGE(""https://docs.google.com/spreadsheets/d/11923uPwbBZFjjGgGUA6NLw09EwE0CqkOc4q9oUmW1yo/edit?usp=sharing"",""เชียงราย!J89"")"),5)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IFERROR(__xludf.DUMMYFUNCTION("IMPORTRANGE(""https://docs.google.com/spreadsheets/d/11923uPwbBZFjjGgGUA6NLw09EwE0CqkOc4q9oUmW1yo/edit?usp=sharing"",""เชียงราย!J94"")"),0)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IFERROR(__xludf.DUMMYFUNCTION("IMPORTRANGE(""https://docs.google.com/spreadsheets/d/11923uPwbBZFjjGgGUA6NLw09EwE0CqkOc4q9oUmW1yo/edit?usp=sharing"",""เชียงราย!J95"")"),1)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IFERROR(__xludf.DUMMYFUNCTION("IMPORTRANGE(""https://docs.google.com/spreadsheets/d/11923uPwbBZFjjGgGUA6NLw09EwE0CqkOc4q9oUmW1yo/edit?usp=sharing"",""เชียงราย!J96"")"),1)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IFERROR(__xludf.DUMMYFUNCTION("IMPORTRANGE(""https://docs.google.com/spreadsheets/d/11923uPwbBZFjjGgGUA6NLw09EwE0CqkOc4q9oUmW1yo/edit?usp=sharing"",""เชียงราย!J97"")"),1)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IFERROR(__xludf.DUMMYFUNCTION("IMPORTRANGE(""https://docs.google.com/spreadsheets/d/11923uPwbBZFjjGgGUA6NLw09EwE0CqkOc4q9oUmW1yo/edit?usp=sharing"",""เชียงราย!I98"")"),5)</f>
        <v>5</v>
      </c>
      <c r="J173" s="188">
        <f ca="1">IFERROR(__xludf.DUMMYFUNCTION("IMPORTRANGE(""https://docs.google.com/spreadsheets/d/11923uPwbBZFjjGgGUA6NLw09EwE0CqkOc4q9oUmW1yo/edit?usp=sharing"",""เชียงราย!J98"")"),5)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IFERROR(__xludf.DUMMYFUNCTION("IMPORTRANGE(""https://docs.google.com/spreadsheets/d/11923uPwbBZFjjGgGUA6NLw09EwE0CqkOc4q9oUmW1yo/edit?usp=sharing"",""เชียงราย!J99"")"),0)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IFERROR(__xludf.DUMMYFUNCTION("IMPORTRANGE(""https://docs.google.com/spreadsheets/d/11923uPwbBZFjjGgGUA6NLw09EwE0CqkOc4q9oUmW1yo/edit?usp=sharing"",""เชียงราย!J100"")"),0)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IFERROR(__xludf.DUMMYFUNCTION("IMPORTRANGE(""https://docs.google.com/spreadsheets/d/11923uPwbBZFjjGgGUA6NLw09EwE0CqkOc4q9oUmW1yo/edit?usp=sharing"",""เชียงราย!I101"")"),0)</f>
        <v>0</v>
      </c>
      <c r="J176" s="284">
        <f ca="1">IFERROR(__xludf.DUMMYFUNCTION("IMPORTRANGE(""https://docs.google.com/spreadsheets/d/11923uPwbBZFjjGgGUA6NLw09EwE0CqkOc4q9oUmW1yo/edit?usp=sharing"",""เชียงราย!J101"")"),0)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IFERROR(__xludf.DUMMYFUNCTION("IMPORTRANGE(""https://docs.google.com/spreadsheets/d/11923uPwbBZFjjGgGUA6NLw09EwE0CqkOc4q9oUmW1yo/edit?usp=sharing"",""เชียงราย!J106"")"),0)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IFERROR(__xludf.DUMMYFUNCTION("IMPORTRANGE(""https://docs.google.com/spreadsheets/d/11923uPwbBZFjjGgGUA6NLw09EwE0CqkOc4q9oUmW1yo/edit?usp=sharing"",""เชียงราย!J107"")"),0)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IFERROR(__xludf.DUMMYFUNCTION("IMPORTRANGE(""https://docs.google.com/spreadsheets/d/11923uPwbBZFjjGgGUA6NLw09EwE0CqkOc4q9oUmW1yo/edit?usp=sharing"",""เชียงราย!J108"")"),0)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IFERROR(__xludf.DUMMYFUNCTION("IMPORTRANGE(""https://docs.google.com/spreadsheets/d/11923uPwbBZFjjGgGUA6NLw09EwE0CqkOc4q9oUmW1yo/edit?usp=sharing"",""เชียงราย!J109"")"),0)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IFERROR(__xludf.DUMMYFUNCTION("IMPORTRANGE(""https://docs.google.com/spreadsheets/d/11923uPwbBZFjjGgGUA6NLw09EwE0CqkOc4q9oUmW1yo/edit?usp=sharing"",""เชียงราย!I110"")"),0)</f>
        <v>0</v>
      </c>
      <c r="J185" s="203">
        <f ca="1">IFERROR(__xludf.DUMMYFUNCTION("IMPORTRANGE(""https://docs.google.com/spreadsheets/d/11923uPwbBZFjjGgGUA6NLw09EwE0CqkOc4q9oUmW1yo/edit?usp=sharing"",""เชียงราย!J110"")"),0)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IFERROR(__xludf.DUMMYFUNCTION("IMPORTRANGE(""https://docs.google.com/spreadsheets/d/11923uPwbBZFjjGgGUA6NLw09EwE0CqkOc4q9oUmW1yo/edit?usp=sharing"",""เชียงราย!I111"")"),0)</f>
        <v>0</v>
      </c>
      <c r="J186" s="203">
        <f ca="1">IFERROR(__xludf.DUMMYFUNCTION("IMPORTRANGE(""https://docs.google.com/spreadsheets/d/11923uPwbBZFjjGgGUA6NLw09EwE0CqkOc4q9oUmW1yo/edit?usp=sharing"",""เชียงราย!J111"")"),0)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IFERROR(__xludf.DUMMYFUNCTION("IMPORTRANGE(""https://docs.google.com/spreadsheets/d/11923uPwbBZFjjGgGUA6NLw09EwE0CqkOc4q9oUmW1yo/edit?usp=sharing"",""เชียงราย!J112"")"),0)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IFERROR(__xludf.DUMMYFUNCTION("IMPORTRANGE(""https://docs.google.com/spreadsheets/d/11923uPwbBZFjjGgGUA6NLw09EwE0CqkOc4q9oUmW1yo/edit?usp=sharing"",""เชียงราย!J113"")"),0)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IFERROR(__xludf.DUMMYFUNCTION("IMPORTRANGE(""https://docs.google.com/spreadsheets/d/11923uPwbBZFjjGgGUA6NLw09EwE0CqkOc4q9oUmW1yo/edit?usp=sharing"",""เชียงราย!I114"")"),60000)</f>
        <v>60000</v>
      </c>
      <c r="J189" s="284">
        <f ca="1">IFERROR(__xludf.DUMMYFUNCTION("IMPORTRANGE(""https://docs.google.com/spreadsheets/d/11923uPwbBZFjjGgGUA6NLw09EwE0CqkOc4q9oUmW1yo/edit?usp=sharing"",""เชียงราย!J114"")"),0)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IFERROR(__xludf.DUMMYFUNCTION("IMPORTRANGE(""https://docs.google.com/spreadsheets/d/11923uPwbBZFjjGgGUA6NLw09EwE0CqkOc4q9oUmW1yo/edit?usp=sharing"",""เชียงราย!J119"")"),0)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IFERROR(__xludf.DUMMYFUNCTION("IMPORTRANGE(""https://docs.google.com/spreadsheets/d/11923uPwbBZFjjGgGUA6NLw09EwE0CqkOc4q9oUmW1yo/edit?usp=sharing"",""เชียงราย!J120"")"),1)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IFERROR(__xludf.DUMMYFUNCTION("IMPORTRANGE(""https://docs.google.com/spreadsheets/d/11923uPwbBZFjjGgGUA6NLw09EwE0CqkOc4q9oUmW1yo/edit?usp=sharing"",""เชียงราย!J121"")"),1)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IFERROR(__xludf.DUMMYFUNCTION("IMPORTRANGE(""https://docs.google.com/spreadsheets/d/11923uPwbBZFjjGgGUA6NLw09EwE0CqkOc4q9oUmW1yo/edit?usp=sharing"",""เชียงราย!J122"")"),0)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IFERROR(__xludf.DUMMYFUNCTION("IMPORTRANGE(""https://docs.google.com/spreadsheets/d/11923uPwbBZFjjGgGUA6NLw09EwE0CqkOc4q9oUmW1yo/edit?usp=sharing"",""เชียงราย!I124"")"),60000)</f>
        <v>60000</v>
      </c>
      <c r="J199" s="188">
        <f ca="1">IFERROR(__xludf.DUMMYFUNCTION("IMPORTRANGE(""https://docs.google.com/spreadsheets/d/11923uPwbBZFjjGgGUA6NLw09EwE0CqkOc4q9oUmW1yo/edit?usp=sharing"",""เชียงราย!J124"")"),0)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IFERROR(__xludf.DUMMYFUNCTION("IMPORTRANGE(""https://docs.google.com/spreadsheets/d/11923uPwbBZFjjGgGUA6NLw09EwE0CqkOc4q9oUmW1yo/edit?usp=sharing"",""เชียงราย!I125"")"),60000)</f>
        <v>60000</v>
      </c>
      <c r="J200" s="188">
        <f ca="1">IFERROR(__xludf.DUMMYFUNCTION("IMPORTRANGE(""https://docs.google.com/spreadsheets/d/11923uPwbBZFjjGgGUA6NLw09EwE0CqkOc4q9oUmW1yo/edit?usp=sharing"",""เชียงราย!J125"")"),0)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IFERROR(__xludf.DUMMYFUNCTION("IMPORTRANGE(""https://docs.google.com/spreadsheets/d/11923uPwbBZFjjGgGUA6NLw09EwE0CqkOc4q9oUmW1yo/edit?usp=sharing"",""เชียงราย!I126"")"),15)</f>
        <v>15</v>
      </c>
      <c r="J201" s="188">
        <f ca="1">IFERROR(__xludf.DUMMYFUNCTION("IMPORTRANGE(""https://docs.google.com/spreadsheets/d/11923uPwbBZFjjGgGUA6NLw09EwE0CqkOc4q9oUmW1yo/edit?usp=sharing"",""เชียงราย!J126"")"),15)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IFERROR(__xludf.DUMMYFUNCTION("IMPORTRANGE(""https://docs.google.com/spreadsheets/d/11923uPwbBZFjjGgGUA6NLw09EwE0CqkOc4q9oUmW1yo/edit?usp=sharing"",""เชียงราย!J127"")"),0)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IFERROR(__xludf.DUMMYFUNCTION("IMPORTRANGE(""https://docs.google.com/spreadsheets/d/11923uPwbBZFjjGgGUA6NLw09EwE0CqkOc4q9oUmW1yo/edit?usp=sharing"",""เชียงราย!J128"")"),0)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IFERROR(__xludf.DUMMYFUNCTION("IMPORTRANGE(""https://docs.google.com/spreadsheets/d/11923uPwbBZFjjGgGUA6NLw09EwE0CqkOc4q9oUmW1yo/edit?usp=sharing"",""เชียงราย!I129"")"),0)</f>
        <v>0</v>
      </c>
      <c r="J204" s="284">
        <f ca="1">IFERROR(__xludf.DUMMYFUNCTION("IMPORTRANGE(""https://docs.google.com/spreadsheets/d/11923uPwbBZFjjGgGUA6NLw09EwE0CqkOc4q9oUmW1yo/edit?usp=sharing"",""เชียงราย!J129"")"),0)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IFERROR(__xludf.DUMMYFUNCTION("IMPORTRANGE(""https://docs.google.com/spreadsheets/d/11923uPwbBZFjjGgGUA6NLw09EwE0CqkOc4q9oUmW1yo/edit?usp=sharing"",""เชียงราย!J134"")"),0)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IFERROR(__xludf.DUMMYFUNCTION("IMPORTRANGE(""https://docs.google.com/spreadsheets/d/11923uPwbBZFjjGgGUA6NLw09EwE0CqkOc4q9oUmW1yo/edit?usp=sharing"",""เชียงราย!J135"")"),0)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IFERROR(__xludf.DUMMYFUNCTION("IMPORTRANGE(""https://docs.google.com/spreadsheets/d/11923uPwbBZFjjGgGUA6NLw09EwE0CqkOc4q9oUmW1yo/edit?usp=sharing"",""เชียงราย!J136"")"),0)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IFERROR(__xludf.DUMMYFUNCTION("IMPORTRANGE(""https://docs.google.com/spreadsheets/d/11923uPwbBZFjjGgGUA6NLw09EwE0CqkOc4q9oUmW1yo/edit?usp=sharing"",""เชียงราย!J137"")"),0)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IFERROR(__xludf.DUMMYFUNCTION("IMPORTRANGE(""https://docs.google.com/spreadsheets/d/11923uPwbBZFjjGgGUA6NLw09EwE0CqkOc4q9oUmW1yo/edit?usp=sharing"",""เชียงราย!I138"")"),0)</f>
        <v>0</v>
      </c>
      <c r="J213" s="203">
        <f ca="1">IFERROR(__xludf.DUMMYFUNCTION("IMPORTRANGE(""https://docs.google.com/spreadsheets/d/11923uPwbBZFjjGgGUA6NLw09EwE0CqkOc4q9oUmW1yo/edit?usp=sharing"",""เชียงราย!J138"")"),0)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IFERROR(__xludf.DUMMYFUNCTION("IMPORTRANGE(""https://docs.google.com/spreadsheets/d/11923uPwbBZFjjGgGUA6NLw09EwE0CqkOc4q9oUmW1yo/edit?usp=sharing"",""เชียงราย!I140"")"),0)</f>
        <v>0</v>
      </c>
      <c r="J215" s="203">
        <f ca="1">IFERROR(__xludf.DUMMYFUNCTION("IMPORTRANGE(""https://docs.google.com/spreadsheets/d/11923uPwbBZFjjGgGUA6NLw09EwE0CqkOc4q9oUmW1yo/edit?usp=sharing"",""เชียงราย!J140"")"),0)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IFERROR(__xludf.DUMMYFUNCTION("IMPORTRANGE(""https://docs.google.com/spreadsheets/d/11923uPwbBZFjjGgGUA6NLw09EwE0CqkOc4q9oUmW1yo/edit?usp=sharing"",""เชียงราย!I141"")"),0)</f>
        <v>0</v>
      </c>
      <c r="J216" s="203">
        <f ca="1">IFERROR(__xludf.DUMMYFUNCTION("IMPORTRANGE(""https://docs.google.com/spreadsheets/d/11923uPwbBZFjjGgGUA6NLw09EwE0CqkOc4q9oUmW1yo/edit?usp=sharing"",""เชียงราย!J141"")"),0)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IFERROR(__xludf.DUMMYFUNCTION("IMPORTRANGE(""https://docs.google.com/spreadsheets/d/11923uPwbBZFjjGgGUA6NLw09EwE0CqkOc4q9oUmW1yo/edit?usp=sharing"",""เชียงราย!J142"")"),0)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IFERROR(__xludf.DUMMYFUNCTION("IMPORTRANGE(""https://docs.google.com/spreadsheets/d/11923uPwbBZFjjGgGUA6NLw09EwE0CqkOc4q9oUmW1yo/edit?usp=sharing"",""เชียงราย!J143"")"),0)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IFERROR(__xludf.DUMMYFUNCTION("IMPORTRANGE(""https://docs.google.com/spreadsheets/d/11923uPwbBZFjjGgGUA6NLw09EwE0CqkOc4q9oUmW1yo/edit?usp=sharing"",""เชียงราย!I144"")"),14)</f>
        <v>14</v>
      </c>
      <c r="J219" s="267">
        <f ca="1">IFERROR(__xludf.DUMMYFUNCTION("IMPORTRANGE(""https://docs.google.com/spreadsheets/d/11923uPwbBZFjjGgGUA6NLw09EwE0CqkOc4q9oUmW1yo/edit?usp=sharing"",""เชียงราย!J144"")"),14)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19940</v>
      </c>
      <c r="O220" s="151">
        <f t="shared" ref="O220:O222" ca="1" si="73">IF(L220&gt;0,N220*100/L220,0)</f>
        <v>98.66402770905492</v>
      </c>
      <c r="P220" s="151">
        <f t="shared" ref="P220:P222" ca="1" si="74">IF(M220&gt;0,N220*100/M220,0)</f>
        <v>98.66402770905492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19940</v>
      </c>
      <c r="O222" s="156">
        <f t="shared" ca="1" si="73"/>
        <v>98.66402770905492</v>
      </c>
      <c r="P222" s="156">
        <f t="shared" ca="1" si="74"/>
        <v>98.66402770905492</v>
      </c>
    </row>
    <row r="223" spans="1:16" ht="21.75" customHeight="1" x14ac:dyDescent="0.45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IFERROR(__xludf.DUMMYFUNCTION("IMPORTRANGE(""https://docs.google.com/spreadsheets/d/1Yj_ptqi66GCucihVvJfMjLAmec39IyEx_6qawtMGysU/edit?usp=sharing"",""สบก!BS21"")"),20210)</f>
        <v>20210</v>
      </c>
      <c r="N224" s="168">
        <f ca="1">IFERROR(__xludf.DUMMYFUNCTION("IMPORTRANGE(""https://docs.google.com/spreadsheets/d/1Yj_ptqi66GCucihVvJfMjLAmec39IyEx_6qawtMGysU/edit?usp=sharing"",""สบก!BT21"")"),19940)</f>
        <v>19940</v>
      </c>
      <c r="O224" s="168">
        <f ca="1">IF(L224&gt;0,N224*100/L224,0)</f>
        <v>98.66402770905492</v>
      </c>
      <c r="P224" s="168">
        <f ca="1">IF(M224&gt;0,N224*100/M224,0)</f>
        <v>98.66402770905492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IFERROR(__xludf.DUMMYFUNCTION("IMPORTRANGE(""https://docs.google.com/spreadsheets/d/1Yj_ptqi66GCucihVvJfMjLAmec39IyEx_6qawtMGysU/edit?usp=sharing"",""สบก!BO21"")"),0)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IFERROR(__xludf.DUMMYFUNCTION("IMPORTRANGE(""https://docs.google.com/spreadsheets/d/1Yj_ptqi66GCucihVvJfMjLAmec39IyEx_6qawtMGysU/edit?usp=sharing"",""สบก!BP21"")"),20210)</f>
        <v>20210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IFERROR(__xludf.DUMMYFUNCTION("IMPORTRANGE(""https://docs.google.com/spreadsheets/d/1Yj_ptqi66GCucihVvJfMjLAmec39IyEx_6qawtMGysU/edit?usp=sharing"",""สบก!BQ21"")"),0)</f>
        <v>0</v>
      </c>
      <c r="M228" s="50"/>
      <c r="N228" s="50">
        <f ca="1">IFERROR(__xludf.DUMMYFUNCTION("IMPORTRANGE(""https://docs.google.com/spreadsheets/d/1Yj_ptqi66GCucihVvJfMjLAmec39IyEx_6qawtMGysU/edit?usp=sharing"",""สบก!BU21"")"),0)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IFERROR(__xludf.DUMMYFUNCTION("IMPORTRANGE(""https://docs.google.com/spreadsheets/d/11923uPwbBZFjjGgGUA6NLw09EwE0CqkOc4q9oUmW1yo/edit?usp=sharing"",""เชียงราย!I149"")"),14)</f>
        <v>14</v>
      </c>
      <c r="J229" s="267">
        <f ca="1">IFERROR(__xludf.DUMMYFUNCTION("IMPORTRANGE(""https://docs.google.com/spreadsheets/d/11923uPwbBZFjjGgGUA6NLw09EwE0CqkOc4q9oUmW1yo/edit?usp=sharing"",""เชียงราย!J149"")"),14)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IFERROR(__xludf.DUMMYFUNCTION("IMPORTRANGE(""https://docs.google.com/spreadsheets/d/11923uPwbBZFjjGgGUA6NLw09EwE0CqkOc4q9oUmW1yo/edit?usp=sharing"",""เชียงราย!J151"")"),0)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IFERROR(__xludf.DUMMYFUNCTION("IMPORTRANGE(""https://docs.google.com/spreadsheets/d/11923uPwbBZFjjGgGUA6NLw09EwE0CqkOc4q9oUmW1yo/edit?usp=sharing"",""เชียงราย!J152"")"),1)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IFERROR(__xludf.DUMMYFUNCTION("IMPORTRANGE(""https://docs.google.com/spreadsheets/d/11923uPwbBZFjjGgGUA6NLw09EwE0CqkOc4q9oUmW1yo/edit?usp=sharing"",""เชียงราย!J153"")"),1)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IFERROR(__xludf.DUMMYFUNCTION("IMPORTRANGE(""https://docs.google.com/spreadsheets/d/11923uPwbBZFjjGgGUA6NLw09EwE0CqkOc4q9oUmW1yo/edit?usp=sharing"",""เชียงราย!J154"")"),1)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IFERROR(__xludf.DUMMYFUNCTION("IMPORTRANGE(""https://docs.google.com/spreadsheets/d/11923uPwbBZFjjGgGUA6NLw09EwE0CqkOc4q9oUmW1yo/edit?usp=sharing"",""เชียงราย!I155"")"),14)</f>
        <v>14</v>
      </c>
      <c r="J235" s="188">
        <f ca="1">IFERROR(__xludf.DUMMYFUNCTION("IMPORTRANGE(""https://docs.google.com/spreadsheets/d/11923uPwbBZFjjGgGUA6NLw09EwE0CqkOc4q9oUmW1yo/edit?usp=sharing"",""เชียงราย!J155"")"),14)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IFERROR(__xludf.DUMMYFUNCTION("IMPORTRANGE(""https://docs.google.com/spreadsheets/d/11923uPwbBZFjjGgGUA6NLw09EwE0CqkOc4q9oUmW1yo/edit?usp=sharing"",""เชียงราย!J156"")"),0)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IFERROR(__xludf.DUMMYFUNCTION("IMPORTRANGE(""https://docs.google.com/spreadsheets/d/11923uPwbBZFjjGgGUA6NLw09EwE0CqkOc4q9oUmW1yo/edit?usp=sharing"",""เชียงราย!J157"")"),0)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IFERROR(__xludf.DUMMYFUNCTION("IMPORTRANGE(""https://docs.google.com/spreadsheets/d/11923uPwbBZFjjGgGUA6NLw09EwE0CqkOc4q9oUmW1yo/edit?usp=sharing"",""เชียงราย!I158"")"),0)</f>
        <v>0</v>
      </c>
      <c r="J238" s="267">
        <f ca="1">IFERROR(__xludf.DUMMYFUNCTION("IMPORTRANGE(""https://docs.google.com/spreadsheets/d/11923uPwbBZFjjGgGUA6NLw09EwE0CqkOc4q9oUmW1yo/edit?usp=sharing"",""เชียงราย!J158"")"),0)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IFERROR(__xludf.DUMMYFUNCTION("IMPORTRANGE(""https://docs.google.com/spreadsheets/d/11923uPwbBZFjjGgGUA6NLw09EwE0CqkOc4q9oUmW1yo/edit?usp=sharing"",""เชียงราย!J159"")"),"")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IFERROR(__xludf.DUMMYFUNCTION("IMPORTRANGE(""https://docs.google.com/spreadsheets/d/11923uPwbBZFjjGgGUA6NLw09EwE0CqkOc4q9oUmW1yo/edit?usp=sharing"",""เชียงราย!J161"")"),0)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IFERROR(__xludf.DUMMYFUNCTION("IMPORTRANGE(""https://docs.google.com/spreadsheets/d/11923uPwbBZFjjGgGUA6NLw09EwE0CqkOc4q9oUmW1yo/edit?usp=sharing"",""เชียงราย!J162"")"),0)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IFERROR(__xludf.DUMMYFUNCTION("IMPORTRANGE(""https://docs.google.com/spreadsheets/d/11923uPwbBZFjjGgGUA6NLw09EwE0CqkOc4q9oUmW1yo/edit?usp=sharing"",""เชียงราย!J163"")"),0)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IFERROR(__xludf.DUMMYFUNCTION("IMPORTRANGE(""https://docs.google.com/spreadsheets/d/11923uPwbBZFjjGgGUA6NLw09EwE0CqkOc4q9oUmW1yo/edit?usp=sharing"",""เชียงราย!I164"")"),0)</f>
        <v>0</v>
      </c>
      <c r="J244" s="187">
        <f ca="1">IFERROR(__xludf.DUMMYFUNCTION("IMPORTRANGE(""https://docs.google.com/spreadsheets/d/11923uPwbBZFjjGgGUA6NLw09EwE0CqkOc4q9oUmW1yo/edit?usp=sharing"",""เชียงราย!J164"")"),0)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IFERROR(__xludf.DUMMYFUNCTION("IMPORTRANGE(""https://docs.google.com/spreadsheets/d/11923uPwbBZFjjGgGUA6NLw09EwE0CqkOc4q9oUmW1yo/edit?usp=sharing"",""เชียงราย!J165"")"),0)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IFERROR(__xludf.DUMMYFUNCTION("IMPORTRANGE(""https://docs.google.com/spreadsheets/d/11923uPwbBZFjjGgGUA6NLw09EwE0CqkOc4q9oUmW1yo/edit?usp=sharing"",""เชียงราย!J166"")"),0)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IFERROR(__xludf.DUMMYFUNCTION("IMPORTRANGE(""https://docs.google.com/spreadsheets/d/11923uPwbBZFjjGgGUA6NLw09EwE0CqkOc4q9oUmW1yo/edit?usp=sharing"",""เชียงราย!I169"")"),20)</f>
        <v>20</v>
      </c>
      <c r="J249" s="316">
        <f ca="1">IFERROR(__xludf.DUMMYFUNCTION("IMPORTRANGE(""https://docs.google.com/spreadsheets/d/11923uPwbBZFjjGgGUA6NLw09EwE0CqkOc4q9oUmW1yo/edit?usp=sharing"",""เชียงราย!J169"")"),20)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32990</v>
      </c>
      <c r="O250" s="151">
        <f t="shared" ref="O250:O252" ca="1" si="78">IF(L250&gt;0,N250*100/L250,0)</f>
        <v>46.20448179271709</v>
      </c>
      <c r="P250" s="151">
        <f t="shared" ref="P250:P252" ca="1" si="79">IF(M250&gt;0,N250*100/M250,0)</f>
        <v>78.547619047619051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42000</v>
      </c>
      <c r="N252" s="88">
        <f t="shared" ca="1" si="81"/>
        <v>32990</v>
      </c>
      <c r="O252" s="156">
        <f t="shared" ca="1" si="78"/>
        <v>46.20448179271709</v>
      </c>
      <c r="P252" s="156">
        <f t="shared" ca="1" si="79"/>
        <v>78.547619047619051</v>
      </c>
    </row>
    <row r="253" spans="1:16" ht="21.75" customHeight="1" x14ac:dyDescent="0.45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IFERROR(__xludf.DUMMYFUNCTION("IMPORTRANGE(""https://docs.google.com/spreadsheets/d/1Yj_ptqi66GCucihVvJfMjLAmec39IyEx_6qawtMGysU/edit?usp=sharing"",""สบก!CB21"")"),42000)</f>
        <v>42000</v>
      </c>
      <c r="N254" s="168">
        <f ca="1">IFERROR(__xludf.DUMMYFUNCTION("IMPORTRANGE(""https://docs.google.com/spreadsheets/d/1Yj_ptqi66GCucihVvJfMjLAmec39IyEx_6qawtMGysU/edit?usp=sharing"",""สบก!CC21"")"),32990)</f>
        <v>32990</v>
      </c>
      <c r="O254" s="168">
        <f ca="1">IF(L254&gt;0,N254*100/L254,0)</f>
        <v>46.20448179271709</v>
      </c>
      <c r="P254" s="168">
        <f ca="1">IF(M254&gt;0,N254*100/M254,0)</f>
        <v>78.547619047619051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IFERROR(__xludf.DUMMYFUNCTION("IMPORTRANGE(""https://docs.google.com/spreadsheets/d/1Yj_ptqi66GCucihVvJfMjLAmec39IyEx_6qawtMGysU/edit?usp=sharing"",""สบก!BX21"")"),0)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IFERROR(__xludf.DUMMYFUNCTION("IMPORTRANGE(""https://docs.google.com/spreadsheets/d/1Yj_ptqi66GCucihVvJfMjLAmec39IyEx_6qawtMGysU/edit?usp=sharing"",""สบก!BY21"")"),71400)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IFERROR(__xludf.DUMMYFUNCTION("IMPORTRANGE(""https://docs.google.com/spreadsheets/d/1Yj_ptqi66GCucihVvJfMjLAmec39IyEx_6qawtMGysU/edit?usp=sharing"",""สบก!BZ21"")"),0)</f>
        <v>0</v>
      </c>
      <c r="M258" s="50"/>
      <c r="N258" s="50">
        <f ca="1">IFERROR(__xludf.DUMMYFUNCTION("IMPORTRANGE(""https://docs.google.com/spreadsheets/d/1Yj_ptqi66GCucihVvJfMjLAmec39IyEx_6qawtMGysU/edit?usp=sharing"",""สบก!CD21"")"),0)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IFERROR(__xludf.DUMMYFUNCTION("IMPORTRANGE(""https://docs.google.com/spreadsheets/d/11923uPwbBZFjjGgGUA6NLw09EwE0CqkOc4q9oUmW1yo/edit?usp=sharing"",""เชียงราย!J175"")"),0)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IFERROR(__xludf.DUMMYFUNCTION("IMPORTRANGE(""https://docs.google.com/spreadsheets/d/11923uPwbBZFjjGgGUA6NLw09EwE0CqkOc4q9oUmW1yo/edit?usp=sharing"",""เชียงราย!J176"")"),1)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IFERROR(__xludf.DUMMYFUNCTION("IMPORTRANGE(""https://docs.google.com/spreadsheets/d/11923uPwbBZFjjGgGUA6NLw09EwE0CqkOc4q9oUmW1yo/edit?usp=sharing"",""เชียงราย!J177"")"),1)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IFERROR(__xludf.DUMMYFUNCTION("IMPORTRANGE(""https://docs.google.com/spreadsheets/d/11923uPwbBZFjjGgGUA6NLw09EwE0CqkOc4q9oUmW1yo/edit?usp=sharing"",""เชียงราย!J178"")"),1)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IFERROR(__xludf.DUMMYFUNCTION("IMPORTRANGE(""https://docs.google.com/spreadsheets/d/11923uPwbBZFjjGgGUA6NLw09EwE0CqkOc4q9oUmW1yo/edit?usp=sharing"",""เชียงราย!I179"")"),1)</f>
        <v>1</v>
      </c>
      <c r="J264" s="188">
        <f ca="1">IFERROR(__xludf.DUMMYFUNCTION("IMPORTRANGE(""https://docs.google.com/spreadsheets/d/11923uPwbBZFjjGgGUA6NLw09EwE0CqkOc4q9oUmW1yo/edit?usp=sharing"",""เชียงราย!J179"")"),1)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IFERROR(__xludf.DUMMYFUNCTION("IMPORTRANGE(""https://docs.google.com/spreadsheets/d/11923uPwbBZFjjGgGUA6NLw09EwE0CqkOc4q9oUmW1yo/edit?usp=sharing"",""เชียงราย!I180"")"),20)</f>
        <v>20</v>
      </c>
      <c r="J265" s="188">
        <f ca="1">IFERROR(__xludf.DUMMYFUNCTION("IMPORTRANGE(""https://docs.google.com/spreadsheets/d/11923uPwbBZFjjGgGUA6NLw09EwE0CqkOc4q9oUmW1yo/edit?usp=sharing"",""เชียงราย!J180"")"),20)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IFERROR(__xludf.DUMMYFUNCTION("IMPORTRANGE(""https://docs.google.com/spreadsheets/d/11923uPwbBZFjjGgGUA6NLw09EwE0CqkOc4q9oUmW1yo/edit?usp=sharing"",""เชียงราย!I181"")"),20)</f>
        <v>20</v>
      </c>
      <c r="J266" s="188">
        <f ca="1">IFERROR(__xludf.DUMMYFUNCTION("IMPORTRANGE(""https://docs.google.com/spreadsheets/d/11923uPwbBZFjjGgGUA6NLw09EwE0CqkOc4q9oUmW1yo/edit?usp=sharing"",""เชียงราย!J181"")"),0)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IFERROR(__xludf.DUMMYFUNCTION("IMPORTRANGE(""https://docs.google.com/spreadsheets/d/11923uPwbBZFjjGgGUA6NLw09EwE0CqkOc4q9oUmW1yo/edit?usp=sharing"",""เชียงราย!I182"")"),1)</f>
        <v>1</v>
      </c>
      <c r="J267" s="188">
        <f ca="1">IFERROR(__xludf.DUMMYFUNCTION("IMPORTRANGE(""https://docs.google.com/spreadsheets/d/11923uPwbBZFjjGgGUA6NLw09EwE0CqkOc4q9oUmW1yo/edit?usp=sharing"",""เชียงราย!J182"")"),0)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IFERROR(__xludf.DUMMYFUNCTION("IMPORTRANGE(""https://docs.google.com/spreadsheets/d/11923uPwbBZFjjGgGUA6NLw09EwE0CqkOc4q9oUmW1yo/edit?usp=sharing"",""เชียงราย!J183"")"),0)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IFERROR(__xludf.DUMMYFUNCTION("IMPORTRANGE(""https://docs.google.com/spreadsheets/d/11923uPwbBZFjjGgGUA6NLw09EwE0CqkOc4q9oUmW1yo/edit?usp=sharing"",""เชียงราย!J184"")"),0)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IFERROR(__xludf.DUMMYFUNCTION("IMPORTRANGE(""https://docs.google.com/spreadsheets/d/11923uPwbBZFjjGgGUA6NLw09EwE0CqkOc4q9oUmW1yo/edit?usp=sharing"",""เชียงราย!I185"")"),15)</f>
        <v>15</v>
      </c>
      <c r="J270" s="316">
        <f ca="1">IFERROR(__xludf.DUMMYFUNCTION("IMPORTRANGE(""https://docs.google.com/spreadsheets/d/11923uPwbBZFjjGgGUA6NLw09EwE0CqkOc4q9oUmW1yo/edit?usp=sharing"",""เชียงราย!J185"")"),15)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80000</v>
      </c>
      <c r="N271" s="152">
        <f t="shared" ca="1" si="83"/>
        <v>61420</v>
      </c>
      <c r="O271" s="151">
        <f t="shared" ref="O271:O273" ca="1" si="84">IF(L271&gt;0,N271*100/L271,0)</f>
        <v>58.107852412488171</v>
      </c>
      <c r="P271" s="151">
        <f t="shared" ref="P271:P273" ca="1" si="85">IF(M271&gt;0,N271*100/M271,0)</f>
        <v>76.775000000000006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80000</v>
      </c>
      <c r="N273" s="88">
        <f t="shared" ca="1" si="87"/>
        <v>61420</v>
      </c>
      <c r="O273" s="156">
        <f t="shared" ca="1" si="84"/>
        <v>58.107852412488171</v>
      </c>
      <c r="P273" s="156">
        <f t="shared" ca="1" si="85"/>
        <v>76.775000000000006</v>
      </c>
    </row>
    <row r="274" spans="1:16" ht="21.75" customHeight="1" x14ac:dyDescent="0.45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IFERROR(__xludf.DUMMYFUNCTION("IMPORTRANGE(""https://docs.google.com/spreadsheets/d/1Yj_ptqi66GCucihVvJfMjLAmec39IyEx_6qawtMGysU/edit?usp=sharing"",""สบก!CK21"")"),80000)</f>
        <v>80000</v>
      </c>
      <c r="N275" s="168">
        <f ca="1">IFERROR(__xludf.DUMMYFUNCTION("IMPORTRANGE(""https://docs.google.com/spreadsheets/d/1Yj_ptqi66GCucihVvJfMjLAmec39IyEx_6qawtMGysU/edit?usp=sharing"",""สบก!CL21"")"),61420)</f>
        <v>61420</v>
      </c>
      <c r="O275" s="168">
        <f ca="1">IF(L275&gt;0,N275*100/L275,0)</f>
        <v>58.107852412488171</v>
      </c>
      <c r="P275" s="168">
        <f ca="1">IF(M275&gt;0,N275*100/M275,0)</f>
        <v>76.775000000000006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IFERROR(__xludf.DUMMYFUNCTION("IMPORTRANGE(""https://docs.google.com/spreadsheets/d/1Yj_ptqi66GCucihVvJfMjLAmec39IyEx_6qawtMGysU/edit?usp=sharing"",""สบก!CG21"")"),0)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IFERROR(__xludf.DUMMYFUNCTION("IMPORTRANGE(""https://docs.google.com/spreadsheets/d/1Yj_ptqi66GCucihVvJfMjLAmec39IyEx_6qawtMGysU/edit?usp=sharing"",""สบก!CH21"")"),105700)</f>
        <v>105700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IFERROR(__xludf.DUMMYFUNCTION("IMPORTRANGE(""https://docs.google.com/spreadsheets/d/1Yj_ptqi66GCucihVvJfMjLAmec39IyEx_6qawtMGysU/edit?usp=sharing"",""สบก!CI21"")"),0)</f>
        <v>0</v>
      </c>
      <c r="M279" s="50"/>
      <c r="N279" s="50">
        <f ca="1">IFERROR(__xludf.DUMMYFUNCTION("IMPORTRANGE(""https://docs.google.com/spreadsheets/d/1Yj_ptqi66GCucihVvJfMjLAmec39IyEx_6qawtMGysU/edit?usp=sharing"",""สบก!CM21"")"),0)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IFERROR(__xludf.DUMMYFUNCTION("IMPORTRANGE(""https://docs.google.com/spreadsheets/d/11923uPwbBZFjjGgGUA6NLw09EwE0CqkOc4q9oUmW1yo/edit?usp=sharing"",""เชียงราย!J191"")"),0)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IFERROR(__xludf.DUMMYFUNCTION("IMPORTRANGE(""https://docs.google.com/spreadsheets/d/11923uPwbBZFjjGgGUA6NLw09EwE0CqkOc4q9oUmW1yo/edit?usp=sharing"",""เชียงราย!J192"")"),1)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IFERROR(__xludf.DUMMYFUNCTION("IMPORTRANGE(""https://docs.google.com/spreadsheets/d/11923uPwbBZFjjGgGUA6NLw09EwE0CqkOc4q9oUmW1yo/edit?usp=sharing"",""เชียงราย!J193"")"),1)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IFERROR(__xludf.DUMMYFUNCTION("IMPORTRANGE(""https://docs.google.com/spreadsheets/d/11923uPwbBZFjjGgGUA6NLw09EwE0CqkOc4q9oUmW1yo/edit?usp=sharing"",""เชียงราย!J194"")"),1)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IFERROR(__xludf.DUMMYFUNCTION("IMPORTRANGE(""https://docs.google.com/spreadsheets/d/11923uPwbBZFjjGgGUA6NLw09EwE0CqkOc4q9oUmW1yo/edit?usp=sharing"",""เชียงราย!I195"")"),15)</f>
        <v>15</v>
      </c>
      <c r="J285" s="188">
        <f ca="1">IFERROR(__xludf.DUMMYFUNCTION("IMPORTRANGE(""https://docs.google.com/spreadsheets/d/11923uPwbBZFjjGgGUA6NLw09EwE0CqkOc4q9oUmW1yo/edit?usp=sharing"",""เชียงราย!J195"")"),15)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IFERROR(__xludf.DUMMYFUNCTION("IMPORTRANGE(""https://docs.google.com/spreadsheets/d/11923uPwbBZFjjGgGUA6NLw09EwE0CqkOc4q9oUmW1yo/edit?usp=sharing"",""เชียงราย!J196"")"),0)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IFERROR(__xludf.DUMMYFUNCTION("IMPORTRANGE(""https://docs.google.com/spreadsheets/d/11923uPwbBZFjjGgGUA6NLw09EwE0CqkOc4q9oUmW1yo/edit?usp=sharing"",""เชียงราย!J197"")"),0)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IFERROR(__xludf.DUMMYFUNCTION("IMPORTRANGE(""https://docs.google.com/spreadsheets/d/11923uPwbBZFjjGgGUA6NLw09EwE0CqkOc4q9oUmW1yo/edit?usp=sharing"",""เชียงราย!I199"")"),0)</f>
        <v>0</v>
      </c>
      <c r="J289" s="316">
        <f ca="1">IFERROR(__xludf.DUMMYFUNCTION("IMPORTRANGE(""https://docs.google.com/spreadsheets/d/11923uPwbBZFjjGgGUA6NLw09EwE0CqkOc4q9oUmW1yo/edit?usp=sharing"",""เชียงราย!J199"")"),0)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IFERROR(__xludf.DUMMYFUNCTION("IMPORTRANGE(""https://docs.google.com/spreadsheets/d/1Yj_ptqi66GCucihVvJfMjLAmec39IyEx_6qawtMGysU/edit?usp=sharing"",""สบก!CT21"")"),0)</f>
        <v>0</v>
      </c>
      <c r="N294" s="168">
        <f ca="1">IFERROR(__xludf.DUMMYFUNCTION("IMPORTRANGE(""https://docs.google.com/spreadsheets/d/1Yj_ptqi66GCucihVvJfMjLAmec39IyEx_6qawtMGysU/edit?usp=sharing"",""สบก!CU21"")"),0)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IFERROR(__xludf.DUMMYFUNCTION("IMPORTRANGE(""https://docs.google.com/spreadsheets/d/1Yj_ptqi66GCucihVvJfMjLAmec39IyEx_6qawtMGysU/edit?usp=sharing"",""สบก!CP21"")"),0)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IFERROR(__xludf.DUMMYFUNCTION("IMPORTRANGE(""https://docs.google.com/spreadsheets/d/1Yj_ptqi66GCucihVvJfMjLAmec39IyEx_6qawtMGysU/edit?usp=sharing"",""สบก!CQ21"")"),0)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IFERROR(__xludf.DUMMYFUNCTION("IMPORTRANGE(""https://docs.google.com/spreadsheets/d/1Yj_ptqi66GCucihVvJfMjLAmec39IyEx_6qawtMGysU/edit?usp=sharing"",""สบก!CR21"")"),0)</f>
        <v>0</v>
      </c>
      <c r="M298" s="50"/>
      <c r="N298" s="50">
        <f ca="1">IFERROR(__xludf.DUMMYFUNCTION("IMPORTRANGE(""https://docs.google.com/spreadsheets/d/1Yj_ptqi66GCucihVvJfMjLAmec39IyEx_6qawtMGysU/edit?usp=sharing"",""สบก!CV21"")"),0)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IFERROR(__xludf.DUMMYFUNCTION("IMPORTRANGE(""https://docs.google.com/spreadsheets/d/11923uPwbBZFjjGgGUA6NLw09EwE0CqkOc4q9oUmW1yo/edit?usp=sharing"",""เชียงราย!J205"")"),0)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IFERROR(__xludf.DUMMYFUNCTION("IMPORTRANGE(""https://docs.google.com/spreadsheets/d/11923uPwbBZFjjGgGUA6NLw09EwE0CqkOc4q9oUmW1yo/edit?usp=sharing"",""เชียงราย!J206"")"),0)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IFERROR(__xludf.DUMMYFUNCTION("IMPORTRANGE(""https://docs.google.com/spreadsheets/d/11923uPwbBZFjjGgGUA6NLw09EwE0CqkOc4q9oUmW1yo/edit?usp=sharing"",""เชียงราย!J207"")"),0)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IFERROR(__xludf.DUMMYFUNCTION("IMPORTRANGE(""https://docs.google.com/spreadsheets/d/11923uPwbBZFjjGgGUA6NLw09EwE0CqkOc4q9oUmW1yo/edit?usp=sharing"",""เชียงราย!J208"")"),0)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IFERROR(__xludf.DUMMYFUNCTION("IMPORTRANGE(""https://docs.google.com/spreadsheets/d/11923uPwbBZFjjGgGUA6NLw09EwE0CqkOc4q9oUmW1yo/edit?usp=sharing"",""เชียงราย!I209"")"),0)</f>
        <v>0</v>
      </c>
      <c r="J304" s="203">
        <f ca="1">IFERROR(__xludf.DUMMYFUNCTION("IMPORTRANGE(""https://docs.google.com/spreadsheets/d/11923uPwbBZFjjGgGUA6NLw09EwE0CqkOc4q9oUmW1yo/edit?usp=sharing"",""เชียงราย!J209"")"),0)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IFERROR(__xludf.DUMMYFUNCTION("IMPORTRANGE(""https://docs.google.com/spreadsheets/d/11923uPwbBZFjjGgGUA6NLw09EwE0CqkOc4q9oUmW1yo/edit?usp=sharing"",""เชียงราย!I211"")"),0)</f>
        <v>0</v>
      </c>
      <c r="J306" s="203">
        <f ca="1">IFERROR(__xludf.DUMMYFUNCTION("IMPORTRANGE(""https://docs.google.com/spreadsheets/d/11923uPwbBZFjjGgGUA6NLw09EwE0CqkOc4q9oUmW1yo/edit?usp=sharing"",""เชียงราย!J211"")"),0)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IFERROR(__xludf.DUMMYFUNCTION("IMPORTRANGE(""https://docs.google.com/spreadsheets/d/11923uPwbBZFjjGgGUA6NLw09EwE0CqkOc4q9oUmW1yo/edit?usp=sharing"",""เชียงราย!J212"")"),0)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IFERROR(__xludf.DUMMYFUNCTION("IMPORTRANGE(""https://docs.google.com/spreadsheets/d/11923uPwbBZFjjGgGUA6NLw09EwE0CqkOc4q9oUmW1yo/edit?usp=sharing"",""เชียงราย!J213"")"),0)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IFERROR(__xludf.DUMMYFUNCTION("IMPORTRANGE(""https://docs.google.com/spreadsheets/d/11923uPwbBZFjjGgGUA6NLw09EwE0CqkOc4q9oUmW1yo/edit?usp=sharing"",""เชียงราย!I214"")"),0)</f>
        <v>0</v>
      </c>
      <c r="J309" s="333">
        <f ca="1">IFERROR(__xludf.DUMMYFUNCTION("IMPORTRANGE(""https://docs.google.com/spreadsheets/d/11923uPwbBZFjjGgGUA6NLw09EwE0CqkOc4q9oUmW1yo/edit?usp=sharing"",""เชียงราย!J214"")"),0)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IFERROR(__xludf.DUMMYFUNCTION("IMPORTRANGE(""https://docs.google.com/spreadsheets/d/1Yj_ptqi66GCucihVvJfMjLAmec39IyEx_6qawtMGysU/edit?usp=sharing"",""สบก!DC21"")"),0)</f>
        <v>0</v>
      </c>
      <c r="N314" s="168">
        <f ca="1">IFERROR(__xludf.DUMMYFUNCTION("IMPORTRANGE(""https://docs.google.com/spreadsheets/d/1Yj_ptqi66GCucihVvJfMjLAmec39IyEx_6qawtMGysU/edit?usp=sharing"",""สบก!DD21"")"),0)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IFERROR(__xludf.DUMMYFUNCTION("IMPORTRANGE(""https://docs.google.com/spreadsheets/d/1Yj_ptqi66GCucihVvJfMjLAmec39IyEx_6qawtMGysU/edit?usp=sharing"",""สบก!CY21"")"),0)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IFERROR(__xludf.DUMMYFUNCTION("IMPORTRANGE(""https://docs.google.com/spreadsheets/d/1Yj_ptqi66GCucihVvJfMjLAmec39IyEx_6qawtMGysU/edit?usp=sharing"",""สบก!CZ21"")"),0)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IFERROR(__xludf.DUMMYFUNCTION("IMPORTRANGE(""https://docs.google.com/spreadsheets/d/1Yj_ptqi66GCucihVvJfMjLAmec39IyEx_6qawtMGysU/edit?usp=sharing"",""สบก!DA21"")"),0)</f>
        <v>0</v>
      </c>
      <c r="M318" s="50"/>
      <c r="N318" s="50">
        <f ca="1">IFERROR(__xludf.DUMMYFUNCTION("IMPORTRANGE(""https://docs.google.com/spreadsheets/d/1Yj_ptqi66GCucihVvJfMjLAmec39IyEx_6qawtMGysU/edit?usp=sharing"",""สบก!DE21"")"),0)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IFERROR(__xludf.DUMMYFUNCTION("IMPORTRANGE(""https://docs.google.com/spreadsheets/d/11923uPwbBZFjjGgGUA6NLw09EwE0CqkOc4q9oUmW1yo/edit?usp=sharing"",""เชียงราย!J220"")"),0)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IFERROR(__xludf.DUMMYFUNCTION("IMPORTRANGE(""https://docs.google.com/spreadsheets/d/11923uPwbBZFjjGgGUA6NLw09EwE0CqkOc4q9oUmW1yo/edit?usp=sharing"",""เชียงราย!J221"")"),0)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IFERROR(__xludf.DUMMYFUNCTION("IMPORTRANGE(""https://docs.google.com/spreadsheets/d/11923uPwbBZFjjGgGUA6NLw09EwE0CqkOc4q9oUmW1yo/edit?usp=sharing"",""เชียงราย!J222"")"),0)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IFERROR(__xludf.DUMMYFUNCTION("IMPORTRANGE(""https://docs.google.com/spreadsheets/d/11923uPwbBZFjjGgGUA6NLw09EwE0CqkOc4q9oUmW1yo/edit?usp=sharing"",""เชียงราย!J223"")"),0)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IFERROR(__xludf.DUMMYFUNCTION("IMPORTRANGE(""https://docs.google.com/spreadsheets/d/11923uPwbBZFjjGgGUA6NLw09EwE0CqkOc4q9oUmW1yo/edit?usp=sharing"",""เชียงราย!I224"")"),0)</f>
        <v>0</v>
      </c>
      <c r="J324" s="203">
        <f ca="1">IFERROR(__xludf.DUMMYFUNCTION("IMPORTRANGE(""https://docs.google.com/spreadsheets/d/11923uPwbBZFjjGgGUA6NLw09EwE0CqkOc4q9oUmW1yo/edit?usp=sharing"",""เชียงราย!J224"")"),0)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IFERROR(__xludf.DUMMYFUNCTION("IMPORTRANGE(""https://docs.google.com/spreadsheets/d/11923uPwbBZFjjGgGUA6NLw09EwE0CqkOc4q9oUmW1yo/edit?usp=sharing"",""เชียงราย!J225"")"),0)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IFERROR(__xludf.DUMMYFUNCTION("IMPORTRANGE(""https://docs.google.com/spreadsheets/d/11923uPwbBZFjjGgGUA6NLw09EwE0CqkOc4q9oUmW1yo/edit?usp=sharing"",""เชียงราย!J226"")"),0)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IFERROR(__xludf.DUMMYFUNCTION("IMPORTRANGE(""https://docs.google.com/spreadsheets/d/11923uPwbBZFjjGgGUA6NLw09EwE0CqkOc4q9oUmW1yo/edit?usp=sharing"",""เชียงราย!I228"")"),680)</f>
        <v>680</v>
      </c>
      <c r="J328" s="339">
        <f ca="1">IFERROR(__xludf.DUMMYFUNCTION("IMPORTRANGE(""https://docs.google.com/spreadsheets/d/11923uPwbBZFjjGgGUA6NLw09EwE0CqkOc4q9oUmW1yo/edit?usp=sharing"",""เชียงราย!J228"")"),477)</f>
        <v>477</v>
      </c>
      <c r="K328" s="317">
        <f ca="1">IF(I328&gt;0,J328*100/I328,0)</f>
        <v>70.147058823529406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1538870</v>
      </c>
      <c r="M329" s="152">
        <f t="shared" ca="1" si="98"/>
        <v>1236960</v>
      </c>
      <c r="N329" s="152">
        <f t="shared" ca="1" si="98"/>
        <v>1000599.33</v>
      </c>
      <c r="O329" s="151">
        <f t="shared" ref="O329:O331" ca="1" si="99">IF(L329&gt;0,N329*100/L329,0)</f>
        <v>65.021693190457938</v>
      </c>
      <c r="P329" s="151">
        <f t="shared" ref="P329:P331" ca="1" si="100">IF(M329&gt;0,N329*100/M329,0)</f>
        <v>80.891809759410165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1538870</v>
      </c>
      <c r="M331" s="88">
        <f t="shared" ca="1" si="102"/>
        <v>1236960</v>
      </c>
      <c r="N331" s="88">
        <f t="shared" ca="1" si="102"/>
        <v>1000599.33</v>
      </c>
      <c r="O331" s="156">
        <f t="shared" ca="1" si="99"/>
        <v>65.021693190457938</v>
      </c>
      <c r="P331" s="156">
        <f t="shared" ca="1" si="100"/>
        <v>80.891809759410165</v>
      </c>
    </row>
    <row r="332" spans="1:16" ht="21.75" customHeight="1" x14ac:dyDescent="0.45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1538870</v>
      </c>
      <c r="M333" s="167">
        <f ca="1">IFERROR(__xludf.DUMMYFUNCTION("IMPORTRANGE(""https://docs.google.com/spreadsheets/d/1Yj_ptqi66GCucihVvJfMjLAmec39IyEx_6qawtMGysU/edit?usp=sharing"",""สบก!DL21"")"),1236960)</f>
        <v>1236960</v>
      </c>
      <c r="N333" s="168">
        <f ca="1">IFERROR(__xludf.DUMMYFUNCTION("IMPORTRANGE(""https://docs.google.com/spreadsheets/d/1Yj_ptqi66GCucihVvJfMjLAmec39IyEx_6qawtMGysU/edit?usp=sharing"",""สบก!DM21"")"),1000599.33)</f>
        <v>1000599.33</v>
      </c>
      <c r="O333" s="168">
        <f ca="1">IF(L333&gt;0,N333*100/L333,0)</f>
        <v>65.021693190457938</v>
      </c>
      <c r="P333" s="168">
        <f ca="1">IF(M333&gt;0,N333*100/M333,0)</f>
        <v>80.891809759410165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IFERROR(__xludf.DUMMYFUNCTION("IMPORTRANGE(""https://docs.google.com/spreadsheets/d/1Yj_ptqi66GCucihVvJfMjLAmec39IyEx_6qawtMGysU/edit?usp=sharing"",""สบก!DH21"")"),831600)</f>
        <v>831600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IFERROR(__xludf.DUMMYFUNCTION("IMPORTRANGE(""https://docs.google.com/spreadsheets/d/1Yj_ptqi66GCucihVvJfMjLAmec39IyEx_6qawtMGysU/edit?usp=sharing"",""สบก!DI21"")"),707270)</f>
        <v>707270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IFERROR(__xludf.DUMMYFUNCTION("IMPORTRANGE(""https://docs.google.com/spreadsheets/d/1Yj_ptqi66GCucihVvJfMjLAmec39IyEx_6qawtMGysU/edit?usp=sharing"",""สบก!DJ21"")"),0)</f>
        <v>0</v>
      </c>
      <c r="M337" s="50"/>
      <c r="N337" s="50">
        <f ca="1">IFERROR(__xludf.DUMMYFUNCTION("IMPORTRANGE(""https://docs.google.com/spreadsheets/d/1Yj_ptqi66GCucihVvJfMjLAmec39IyEx_6qawtMGysU/edit?usp=sharing"",""สบก!DN21"")"),0)</f>
        <v>0</v>
      </c>
      <c r="O337" s="50">
        <f ca="1">IF(L337&gt;0,N337*100/L337,0)</f>
        <v>0</v>
      </c>
      <c r="P337" s="50"/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IFERROR(__xludf.DUMMYFUNCTION("IMPORTRANGE(""https://docs.google.com/spreadsheets/d/11923uPwbBZFjjGgGUA6NLw09EwE0CqkOc4q9oUmW1yo/edit?usp=sharing"",""เชียงราย!I234"")"),0)</f>
        <v>0</v>
      </c>
      <c r="J339" s="187">
        <f ca="1">IFERROR(__xludf.DUMMYFUNCTION("IMPORTRANGE(""https://docs.google.com/spreadsheets/d/11923uPwbBZFjjGgGUA6NLw09EwE0CqkOc4q9oUmW1yo/edit?usp=sharing"",""เชียงราย!J234"")"),385)</f>
        <v>385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IFERROR(__xludf.DUMMYFUNCTION("IMPORTRANGE(""https://docs.google.com/spreadsheets/d/11923uPwbBZFjjGgGUA6NLw09EwE0CqkOc4q9oUmW1yo/edit?usp=sharing"",""เชียงราย!I235"")"),3400)</f>
        <v>3400</v>
      </c>
      <c r="J340" s="187">
        <f ca="1">IFERROR(__xludf.DUMMYFUNCTION("IMPORTRANGE(""https://docs.google.com/spreadsheets/d/11923uPwbBZFjjGgGUA6NLw09EwE0CqkOc4q9oUmW1yo/edit?usp=sharing"",""เชียงราย!J235"")"),2176.52)</f>
        <v>2176.52</v>
      </c>
      <c r="K340" s="342">
        <f t="shared" ca="1" si="103"/>
        <v>64.015294117647059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IFERROR(__xludf.DUMMYFUNCTION("IMPORTRANGE(""https://docs.google.com/spreadsheets/d/11923uPwbBZFjjGgGUA6NLw09EwE0CqkOc4q9oUmW1yo/edit?usp=sharing"",""เชียงราย!I236"")"),680)</f>
        <v>680</v>
      </c>
      <c r="J341" s="187">
        <f ca="1">IFERROR(__xludf.DUMMYFUNCTION("IMPORTRANGE(""https://docs.google.com/spreadsheets/d/11923uPwbBZFjjGgGUA6NLw09EwE0CqkOc4q9oUmW1yo/edit?usp=sharing"",""เชียงราย!J236"")"),513)</f>
        <v>513</v>
      </c>
      <c r="K341" s="342">
        <f t="shared" ca="1" si="103"/>
        <v>75.441176470588232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IFERROR(__xludf.DUMMYFUNCTION("IMPORTRANGE(""https://docs.google.com/spreadsheets/d/11923uPwbBZFjjGgGUA6NLw09EwE0CqkOc4q9oUmW1yo/edit?usp=sharing"",""เชียงราย!I237"")"),0)</f>
        <v>0</v>
      </c>
      <c r="J342" s="187">
        <f ca="1">IFERROR(__xludf.DUMMYFUNCTION("IMPORTRANGE(""https://docs.google.com/spreadsheets/d/11923uPwbBZFjjGgGUA6NLw09EwE0CqkOc4q9oUmW1yo/edit?usp=sharing"",""เชียงราย!J237"")"),3434.23)</f>
        <v>3434.23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IFERROR(__xludf.DUMMYFUNCTION("IMPORTRANGE(""https://docs.google.com/spreadsheets/d/11923uPwbBZFjjGgGUA6NLw09EwE0CqkOc4q9oUmW1yo/edit?usp=sharing"",""เชียงราย!I238"")"),680)</f>
        <v>680</v>
      </c>
      <c r="J343" s="187">
        <f ca="1">IFERROR(__xludf.DUMMYFUNCTION("IMPORTRANGE(""https://docs.google.com/spreadsheets/d/11923uPwbBZFjjGgGUA6NLw09EwE0CqkOc4q9oUmW1yo/edit?usp=sharing"",""เชียงราย!J238"")"),2)</f>
        <v>2</v>
      </c>
      <c r="K343" s="342">
        <f t="shared" ca="1" si="103"/>
        <v>0.29411764705882354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IFERROR(__xludf.DUMMYFUNCTION("IMPORTRANGE(""https://docs.google.com/spreadsheets/d/11923uPwbBZFjjGgGUA6NLw09EwE0CqkOc4q9oUmW1yo/edit?usp=sharing"",""เชียงราย!I239"")"),0)</f>
        <v>0</v>
      </c>
      <c r="J344" s="187">
        <f ca="1">IFERROR(__xludf.DUMMYFUNCTION("IMPORTRANGE(""https://docs.google.com/spreadsheets/d/11923uPwbBZFjjGgGUA6NLw09EwE0CqkOc4q9oUmW1yo/edit?usp=sharing"",""เชียงราย!J239"")"),9.23)</f>
        <v>9.23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IFERROR(__xludf.DUMMYFUNCTION("IMPORTRANGE(""https://docs.google.com/spreadsheets/d/11923uPwbBZFjjGgGUA6NLw09EwE0CqkOc4q9oUmW1yo/edit?usp=sharing"",""เชียงราย!I240"")"),680)</f>
        <v>680</v>
      </c>
      <c r="J345" s="187">
        <f ca="1">IFERROR(__xludf.DUMMYFUNCTION("IMPORTRANGE(""https://docs.google.com/spreadsheets/d/11923uPwbBZFjjGgGUA6NLw09EwE0CqkOc4q9oUmW1yo/edit?usp=sharing"",""เชียงราย!J240"")"),477)</f>
        <v>477</v>
      </c>
      <c r="K345" s="342">
        <f t="shared" ca="1" si="103"/>
        <v>70.147058823529406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IFERROR(__xludf.DUMMYFUNCTION("IMPORTRANGE(""https://docs.google.com/spreadsheets/d/11923uPwbBZFjjGgGUA6NLw09EwE0CqkOc4q9oUmW1yo/edit?usp=sharing"",""เชียงราย!I241"")"),0)</f>
        <v>0</v>
      </c>
      <c r="J346" s="187">
        <f ca="1">IFERROR(__xludf.DUMMYFUNCTION("IMPORTRANGE(""https://docs.google.com/spreadsheets/d/11923uPwbBZFjjGgGUA6NLw09EwE0CqkOc4q9oUmW1yo/edit?usp=sharing"",""เชียงราย!J241"")"),3168.96)</f>
        <v>3168.96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IFERROR(__xludf.DUMMYFUNCTION("IMPORTRANGE(""https://docs.google.com/spreadsheets/d/11923uPwbBZFjjGgGUA6NLw09EwE0CqkOc4q9oUmW1yo/edit?usp=sharing"",""เชียงราย!L242"")"),2470819)</f>
        <v>2470819</v>
      </c>
      <c r="M347" s="357"/>
      <c r="N347" s="357">
        <f ca="1">IFERROR(__xludf.DUMMYFUNCTION("IMPORTRANGE(""https://docs.google.com/spreadsheets/d/11923uPwbBZFjjGgGUA6NLw09EwE0CqkOc4q9oUmW1yo/edit?usp=sharing"",""เชียงราย!M242"")"),1093725.95)</f>
        <v>1093725.95</v>
      </c>
      <c r="O347" s="357">
        <f ca="1">+IF(L347&gt;0,N347*100/L347,0)</f>
        <v>44.265725251424733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IFERROR(__xludf.DUMMYFUNCTION("IMPORTRANGE(""https://docs.google.com/spreadsheets/d/11923uPwbBZFjjGgGUA6NLw09EwE0CqkOc4q9oUmW1yo/edit?usp=sharing"",""เชียงราย!I244"")"),200)</f>
        <v>200</v>
      </c>
      <c r="J349" s="370">
        <f ca="1">IFERROR(__xludf.DUMMYFUNCTION("IMPORTRANGE(""https://docs.google.com/spreadsheets/d/11923uPwbBZFjjGgGUA6NLw09EwE0CqkOc4q9oUmW1yo/edit?usp=sharing"",""เชียงราย!J244"")"),93)</f>
        <v>93</v>
      </c>
      <c r="K349" s="371">
        <f t="shared" ref="K349:K350" ca="1" si="104">IF(I349&gt;0,J349*100/I349,0)</f>
        <v>46.5</v>
      </c>
      <c r="L349" s="372">
        <f ca="1">IFERROR(__xludf.DUMMYFUNCTION("IMPORTRANGE(""https://docs.google.com/spreadsheets/d/11923uPwbBZFjjGgGUA6NLw09EwE0CqkOc4q9oUmW1yo/edit?usp=sharing"",""เชียงราย!L244"")"),532200)</f>
        <v>532200</v>
      </c>
      <c r="M349" s="372"/>
      <c r="N349" s="372">
        <f ca="1">IFERROR(__xludf.DUMMYFUNCTION("IMPORTRANGE(""https://docs.google.com/spreadsheets/d/11923uPwbBZFjjGgGUA6NLw09EwE0CqkOc4q9oUmW1yo/edit?usp=sharing"",""เชียงราย!M244"")"),243009)</f>
        <v>243009</v>
      </c>
      <c r="O349" s="372">
        <f ca="1">+IF(L349&gt;0,N349*100/L349,0)</f>
        <v>45.661217587373166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IFERROR(__xludf.DUMMYFUNCTION("IMPORTRANGE(""https://docs.google.com/spreadsheets/d/11923uPwbBZFjjGgGUA6NLw09EwE0CqkOc4q9oUmW1yo/edit?usp=sharing"",""เชียงราย!I245"")"),100)</f>
        <v>100</v>
      </c>
      <c r="J350" s="370">
        <f ca="1">IFERROR(__xludf.DUMMYFUNCTION("IMPORTRANGE(""https://docs.google.com/spreadsheets/d/11923uPwbBZFjjGgGUA6NLw09EwE0CqkOc4q9oUmW1yo/edit?usp=sharing"",""เชียงราย!J245"")"),100)</f>
        <v>100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IFERROR(__xludf.DUMMYFUNCTION("IMPORTRANGE(""https://docs.google.com/spreadsheets/d/11923uPwbBZFjjGgGUA6NLw09EwE0CqkOc4q9oUmW1yo/edit?usp=sharing"",""เชียงราย!L246"")"),0)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IFERROR(__xludf.DUMMYFUNCTION("IMPORTRANGE(""https://docs.google.com/spreadsheets/d/11923uPwbBZFjjGgGUA6NLw09EwE0CqkOc4q9oUmW1yo/edit?usp=sharing"",""เชียงราย!M246"")"),0)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IFERROR(__xludf.DUMMYFUNCTION("IMPORTRANGE(""https://docs.google.com/spreadsheets/d/11923uPwbBZFjjGgGUA6NLw09EwE0CqkOc4q9oUmW1yo/edit?usp=sharing"",""เชียงราย!L247"")"),532200)</f>
        <v>532200</v>
      </c>
      <c r="M352" s="165"/>
      <c r="N352" s="164">
        <f ca="1">IFERROR(__xludf.DUMMYFUNCTION("IMPORTRANGE(""https://docs.google.com/spreadsheets/d/11923uPwbBZFjjGgGUA6NLw09EwE0CqkOc4q9oUmW1yo/edit?usp=sharing"",""เชียงราย!M247"")"),243009)</f>
        <v>243009</v>
      </c>
      <c r="O352" s="165">
        <f t="shared" ca="1" si="105"/>
        <v>45.661217587373166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IFERROR(__xludf.DUMMYFUNCTION("IMPORTRANGE(""https://docs.google.com/spreadsheets/d/11923uPwbBZFjjGgGUA6NLw09EwE0CqkOc4q9oUmW1yo/edit?usp=sharing"",""เชียงราย!L248"")"),0)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IFERROR(__xludf.DUMMYFUNCTION("IMPORTRANGE(""https://docs.google.com/spreadsheets/d/11923uPwbBZFjjGgGUA6NLw09EwE0CqkOc4q9oUmW1yo/edit?usp=sharing"",""เชียงราย!M248"")"),0)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IFERROR(__xludf.DUMMYFUNCTION("IMPORTRANGE(""https://docs.google.com/spreadsheets/d/11923uPwbBZFjjGgGUA6NLw09EwE0CqkOc4q9oUmW1yo/edit?usp=sharing"",""เชียงราย!L249"")"),532200)</f>
        <v>532200</v>
      </c>
      <c r="M354" s="168"/>
      <c r="N354" s="167">
        <f ca="1">IFERROR(__xludf.DUMMYFUNCTION("IMPORTRANGE(""https://docs.google.com/spreadsheets/d/11923uPwbBZFjjGgGUA6NLw09EwE0CqkOc4q9oUmW1yo/edit?usp=sharing"",""เชียงราย!M249"")"),243009)</f>
        <v>243009</v>
      </c>
      <c r="O354" s="168">
        <f t="shared" ca="1" si="105"/>
        <v>45.661217587373166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IFERROR(__xludf.DUMMYFUNCTION("IMPORTRANGE(""https://docs.google.com/spreadsheets/d/11923uPwbBZFjjGgGUA6NLw09EwE0CqkOc4q9oUmW1yo/edit?usp=sharing"",""เชียงราย!M250"")"),0)</f>
        <v>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IFERROR(__xludf.DUMMYFUNCTION("IMPORTRANGE(""https://docs.google.com/spreadsheets/d/11923uPwbBZFjjGgGUA6NLw09EwE0CqkOc4q9oUmW1yo/edit?usp=sharing"",""เชียงราย!M251"")"),0)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IFERROR(__xludf.DUMMYFUNCTION("IMPORTRANGE(""https://docs.google.com/spreadsheets/d/11923uPwbBZFjjGgGUA6NLw09EwE0CqkOc4q9oUmW1yo/edit?usp=sharing"",""เชียงราย!M252"")"),59850)</f>
        <v>59850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IFERROR(__xludf.DUMMYFUNCTION("IMPORTRANGE(""https://docs.google.com/spreadsheets/d/11923uPwbBZFjjGgGUA6NLw09EwE0CqkOc4q9oUmW1yo/edit?usp=sharing"",""เชียงราย!M253"")"),183159)</f>
        <v>183159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IFERROR(__xludf.DUMMYFUNCTION("IMPORTRANGE(""https://docs.google.com/spreadsheets/d/11923uPwbBZFjjGgGUA6NLw09EwE0CqkOc4q9oUmW1yo/edit?usp=sharing"",""เชียงราย!J255"")"),0)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IFERROR(__xludf.DUMMYFUNCTION("IMPORTRANGE(""https://docs.google.com/spreadsheets/d/11923uPwbBZFjjGgGUA6NLw09EwE0CqkOc4q9oUmW1yo/edit?usp=sharing"",""เชียงราย!J256"")"),1)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IFERROR(__xludf.DUMMYFUNCTION("IMPORTRANGE(""https://docs.google.com/spreadsheets/d/11923uPwbBZFjjGgGUA6NLw09EwE0CqkOc4q9oUmW1yo/edit?usp=sharing"",""เชียงราย!J257"")"),1)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IFERROR(__xludf.DUMMYFUNCTION("IMPORTRANGE(""https://docs.google.com/spreadsheets/d/11923uPwbBZFjjGgGUA6NLw09EwE0CqkOc4q9oUmW1yo/edit?usp=sharing"",""เชียงราย!J258"")"),1)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IFERROR(__xludf.DUMMYFUNCTION("IMPORTRANGE(""https://docs.google.com/spreadsheets/d/11923uPwbBZFjjGgGUA6NLw09EwE0CqkOc4q9oUmW1yo/edit?usp=sharing"",""เชียงราย!J166"")"),0)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IFERROR(__xludf.DUMMYFUNCTION("IMPORTRANGE(""https://docs.google.com/spreadsheets/d/11923uPwbBZFjjGgGUA6NLw09EwE0CqkOc4q9oUmW1yo/edit?usp=sharing"",""เชียงราย!J166"")"),0)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IFERROR(__xludf.DUMMYFUNCTION("IMPORTRANGE(""https://docs.google.com/spreadsheets/d/11923uPwbBZFjjGgGUA6NLw09EwE0CqkOc4q9oUmW1yo/edit?usp=sharing"",""เชียงราย!J166"")"),0)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IFERROR(__xludf.DUMMYFUNCTION("IMPORTRANGE(""https://docs.google.com/spreadsheets/d/11923uPwbBZFjjGgGUA6NLw09EwE0CqkOc4q9oUmW1yo/edit?usp=sharing"",""เชียงราย!J166"")"),0)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IFERROR(__xludf.DUMMYFUNCTION("IMPORTRANGE(""https://docs.google.com/spreadsheets/d/11923uPwbBZFjjGgGUA6NLw09EwE0CqkOc4q9oUmW1yo/edit?usp=sharing"",""เชียงราย!I263"")"),100)</f>
        <v>100</v>
      </c>
      <c r="J368" s="187">
        <f ca="1">IFERROR(__xludf.DUMMYFUNCTION("IMPORTRANGE(""https://docs.google.com/spreadsheets/d/11923uPwbBZFjjGgGUA6NLw09EwE0CqkOc4q9oUmW1yo/edit?usp=sharing"",""เชียงราย!J263"")"),100)</f>
        <v>100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IFERROR(__xludf.DUMMYFUNCTION("IMPORTRANGE(""https://docs.google.com/spreadsheets/d/11923uPwbBZFjjGgGUA6NLw09EwE0CqkOc4q9oUmW1yo/edit?usp=sharing"",""เชียงราย!I164"")"),0)</f>
        <v>0</v>
      </c>
      <c r="J369" s="203">
        <f ca="1">IFERROR(__xludf.DUMMYFUNCTION("IMPORTRANGE(""https://docs.google.com/spreadsheets/d/11923uPwbBZFjjGgGUA6NLw09EwE0CqkOc4q9oUmW1yo/edit?usp=sharing"",""เชียงราย!J164"")"),0)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IFERROR(__xludf.DUMMYFUNCTION("IMPORTRANGE(""https://docs.google.com/spreadsheets/d/11923uPwbBZFjjGgGUA6NLw09EwE0CqkOc4q9oUmW1yo/edit?usp=sharing"",""เชียงราย!I265"")"),100)</f>
        <v>100</v>
      </c>
      <c r="J370" s="203">
        <f ca="1">IFERROR(__xludf.DUMMYFUNCTION("IMPORTRANGE(""https://docs.google.com/spreadsheets/d/11923uPwbBZFjjGgGUA6NLw09EwE0CqkOc4q9oUmW1yo/edit?usp=sharing"",""เชียงราย!J265"")"),100)</f>
        <v>100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IFERROR(__xludf.DUMMYFUNCTION("IMPORTRANGE(""https://docs.google.com/spreadsheets/d/11923uPwbBZFjjGgGUA6NLw09EwE0CqkOc4q9oUmW1yo/edit?usp=sharing"",""เชียงราย!I164"")"),0)</f>
        <v>0</v>
      </c>
      <c r="J371" s="188">
        <f ca="1">IFERROR(__xludf.DUMMYFUNCTION("IMPORTRANGE(""https://docs.google.com/spreadsheets/d/11923uPwbBZFjjGgGUA6NLw09EwE0CqkOc4q9oUmW1yo/edit?usp=sharing"",""เชียงราย!J164"")"),0)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IFERROR(__xludf.DUMMYFUNCTION("IMPORTRANGE(""https://docs.google.com/spreadsheets/d/11923uPwbBZFjjGgGUA6NLw09EwE0CqkOc4q9oUmW1yo/edit?usp=sharing"",""เชียงราย!I267"")"),100)</f>
        <v>100</v>
      </c>
      <c r="J372" s="188">
        <f ca="1">IFERROR(__xludf.DUMMYFUNCTION("IMPORTRANGE(""https://docs.google.com/spreadsheets/d/11923uPwbBZFjjGgGUA6NLw09EwE0CqkOc4q9oUmW1yo/edit?usp=sharing"",""เชียงราย!J267"")"),100)</f>
        <v>100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IFERROR(__xludf.DUMMYFUNCTION("IMPORTRANGE(""https://docs.google.com/spreadsheets/d/11923uPwbBZFjjGgGUA6NLw09EwE0CqkOc4q9oUmW1yo/edit?usp=sharing"",""เชียงราย!I164"")"),0)</f>
        <v>0</v>
      </c>
      <c r="J373" s="203">
        <f ca="1">IFERROR(__xludf.DUMMYFUNCTION("IMPORTRANGE(""https://docs.google.com/spreadsheets/d/11923uPwbBZFjjGgGUA6NLw09EwE0CqkOc4q9oUmW1yo/edit?usp=sharing"",""เชียงราย!J164"")"),0)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IFERROR(__xludf.DUMMYFUNCTION("IMPORTRANGE(""https://docs.google.com/spreadsheets/d/11923uPwbBZFjjGgGUA6NLw09EwE0CqkOc4q9oUmW1yo/edit?usp=sharing"",""เชียงราย!I164"")"),0)</f>
        <v>0</v>
      </c>
      <c r="J374" s="187">
        <f ca="1">IFERROR(__xludf.DUMMYFUNCTION("IMPORTRANGE(""https://docs.google.com/spreadsheets/d/11923uPwbBZFjjGgGUA6NLw09EwE0CqkOc4q9oUmW1yo/edit?usp=sharing"",""เชียงราย!J164"")"),0)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IFERROR(__xludf.DUMMYFUNCTION("IMPORTRANGE(""https://docs.google.com/spreadsheets/d/11923uPwbBZFjjGgGUA6NLw09EwE0CqkOc4q9oUmW1yo/edit?usp=sharing"",""เชียงราย!I270"")"),200)</f>
        <v>200</v>
      </c>
      <c r="J375" s="187">
        <f ca="1">IFERROR(__xludf.DUMMYFUNCTION("IMPORTRANGE(""https://docs.google.com/spreadsheets/d/11923uPwbBZFjjGgGUA6NLw09EwE0CqkOc4q9oUmW1yo/edit?usp=sharing"",""เชียงราย!J270"")"),93)</f>
        <v>93</v>
      </c>
      <c r="K375" s="163">
        <f t="shared" ref="K375:K377" ca="1" si="107">IF(I375&gt;0,J375*100/I375,0)</f>
        <v>46.5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IFERROR(__xludf.DUMMYFUNCTION("IMPORTRANGE(""https://docs.google.com/spreadsheets/d/11923uPwbBZFjjGgGUA6NLw09EwE0CqkOc4q9oUmW1yo/edit?usp=sharing"",""เชียงราย!I271"")"),100)</f>
        <v>100</v>
      </c>
      <c r="J376" s="188">
        <f ca="1">IFERROR(__xludf.DUMMYFUNCTION("IMPORTRANGE(""https://docs.google.com/spreadsheets/d/11923uPwbBZFjjGgGUA6NLw09EwE0CqkOc4q9oUmW1yo/edit?usp=sharing"",""เชียงราย!J271"")"),93)</f>
        <v>93</v>
      </c>
      <c r="K376" s="163">
        <f t="shared" ca="1" si="107"/>
        <v>93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IFERROR(__xludf.DUMMYFUNCTION("IMPORTRANGE(""https://docs.google.com/spreadsheets/d/11923uPwbBZFjjGgGUA6NLw09EwE0CqkOc4q9oUmW1yo/edit?usp=sharing"",""เชียงราย!I272"")"),100)</f>
        <v>100</v>
      </c>
      <c r="J377" s="203">
        <f ca="1">IFERROR(__xludf.DUMMYFUNCTION("IMPORTRANGE(""https://docs.google.com/spreadsheets/d/11923uPwbBZFjjGgGUA6NLw09EwE0CqkOc4q9oUmW1yo/edit?usp=sharing"",""เชียงราย!J272"")"),0)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IFERROR(__xludf.DUMMYFUNCTION("IMPORTRANGE(""https://docs.google.com/spreadsheets/d/11923uPwbBZFjjGgGUA6NLw09EwE0CqkOc4q9oUmW1yo/edit?usp=sharing"",""เชียงราย!J273"")"),0)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IFERROR(__xludf.DUMMYFUNCTION("IMPORTRANGE(""https://docs.google.com/spreadsheets/d/11923uPwbBZFjjGgGUA6NLw09EwE0CqkOc4q9oUmW1yo/edit?usp=sharing"",""เชียงราย!J274"")"),0)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IFERROR(__xludf.DUMMYFUNCTION("IMPORTRANGE(""https://docs.google.com/spreadsheets/d/11923uPwbBZFjjGgGUA6NLw09EwE0CqkOc4q9oUmW1yo/edit?usp=sharing"",""เชียงราย!I275"")"),500)</f>
        <v>500</v>
      </c>
      <c r="J380" s="370">
        <f ca="1">IFERROR(__xludf.DUMMYFUNCTION("IMPORTRANGE(""https://docs.google.com/spreadsheets/d/11923uPwbBZFjjGgGUA6NLw09EwE0CqkOc4q9oUmW1yo/edit?usp=sharing"",""เชียงราย!J275"")"),0)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IFERROR(__xludf.DUMMYFUNCTION("IMPORTRANGE(""https://docs.google.com/spreadsheets/d/11923uPwbBZFjjGgGUA6NLw09EwE0CqkOc4q9oUmW1yo/edit?usp=sharing"",""เชียงราย!L275"")"),460140)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IFERROR(__xludf.DUMMYFUNCTION("IMPORTRANGE(""https://docs.google.com/spreadsheets/d/11923uPwbBZFjjGgGUA6NLw09EwE0CqkOc4q9oUmW1yo/edit?usp=sharing"",""เชียงราย!M275"")"),134880)</f>
        <v>134880</v>
      </c>
      <c r="O380" s="372">
        <f ca="1">+IF(L380&gt;0,N380*100/L380,0)</f>
        <v>29.312817838049288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IFERROR(__xludf.DUMMYFUNCTION("IMPORTRANGE(""https://docs.google.com/spreadsheets/d/11923uPwbBZFjjGgGUA6NLw09EwE0CqkOc4q9oUmW1yo/edit?usp=sharing"",""เชียงราย!I276"")"),50)</f>
        <v>50</v>
      </c>
      <c r="J381" s="370">
        <f ca="1">IFERROR(__xludf.DUMMYFUNCTION("IMPORTRANGE(""https://docs.google.com/spreadsheets/d/11923uPwbBZFjjGgGUA6NLw09EwE0CqkOc4q9oUmW1yo/edit?usp=sharing"",""เชียงราย!J276"")"),70)</f>
        <v>70</v>
      </c>
      <c r="K381" s="371">
        <f t="shared" ca="1" si="108"/>
        <v>140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IFERROR(__xludf.DUMMYFUNCTION("IMPORTRANGE(""https://docs.google.com/spreadsheets/d/11923uPwbBZFjjGgGUA6NLw09EwE0CqkOc4q9oUmW1yo/edit?usp=sharing"",""เชียงราย!L277"")"),0)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IFERROR(__xludf.DUMMYFUNCTION("IMPORTRANGE(""https://docs.google.com/spreadsheets/d/11923uPwbBZFjjGgGUA6NLw09EwE0CqkOc4q9oUmW1yo/edit?usp=sharing"",""เชียงราย!M277"")"),0)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IFERROR(__xludf.DUMMYFUNCTION("IMPORTRANGE(""https://docs.google.com/spreadsheets/d/11923uPwbBZFjjGgGUA6NLw09EwE0CqkOc4q9oUmW1yo/edit?usp=sharing"",""เชียงราย!L278"")"),460140)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IFERROR(__xludf.DUMMYFUNCTION("IMPORTRANGE(""https://docs.google.com/spreadsheets/d/11923uPwbBZFjjGgGUA6NLw09EwE0CqkOc4q9oUmW1yo/edit?usp=sharing"",""เชียงราย!M278"")"),134880)</f>
        <v>134880</v>
      </c>
      <c r="O383" s="165">
        <f t="shared" ca="1" si="109"/>
        <v>29.312817838049288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IFERROR(__xludf.DUMMYFUNCTION("IMPORTRANGE(""https://docs.google.com/spreadsheets/d/11923uPwbBZFjjGgGUA6NLw09EwE0CqkOc4q9oUmW1yo/edit?usp=sharing"",""เชียงราย!L279"")"),0)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IFERROR(__xludf.DUMMYFUNCTION("IMPORTRANGE(""https://docs.google.com/spreadsheets/d/11923uPwbBZFjjGgGUA6NLw09EwE0CqkOc4q9oUmW1yo/edit?usp=sharing"",""เชียงราย!M279"")"),0)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IFERROR(__xludf.DUMMYFUNCTION("IMPORTRANGE(""https://docs.google.com/spreadsheets/d/11923uPwbBZFjjGgGUA6NLw09EwE0CqkOc4q9oUmW1yo/edit?usp=sharing"",""เชียงราย!L280"")"),460140)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IFERROR(__xludf.DUMMYFUNCTION("IMPORTRANGE(""https://docs.google.com/spreadsheets/d/11923uPwbBZFjjGgGUA6NLw09EwE0CqkOc4q9oUmW1yo/edit?usp=sharing"",""เชียงราย!M280"")"),134880)</f>
        <v>134880</v>
      </c>
      <c r="O385" s="168">
        <f t="shared" ca="1" si="109"/>
        <v>29.312817838049288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IFERROR(__xludf.DUMMYFUNCTION("IMPORTRANGE(""https://docs.google.com/spreadsheets/d/11923uPwbBZFjjGgGUA6NLw09EwE0CqkOc4q9oUmW1yo/edit?usp=sharing"",""เชียงราย!M281"")"),111000)</f>
        <v>111000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IFERROR(__xludf.DUMMYFUNCTION("IMPORTRANGE(""https://docs.google.com/spreadsheets/d/11923uPwbBZFjjGgGUA6NLw09EwE0CqkOc4q9oUmW1yo/edit?usp=sharing"",""เชียงราย!M282"")"),0)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IFERROR(__xludf.DUMMYFUNCTION("IMPORTRANGE(""https://docs.google.com/spreadsheets/d/11923uPwbBZFjjGgGUA6NLw09EwE0CqkOc4q9oUmW1yo/edit?usp=sharing"",""เชียงราย!M283"")"),0)</f>
        <v>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IFERROR(__xludf.DUMMYFUNCTION("IMPORTRANGE(""https://docs.google.com/spreadsheets/d/11923uPwbBZFjjGgGUA6NLw09EwE0CqkOc4q9oUmW1yo/edit?usp=sharing"",""เชียงราย!M284"")"),23880)</f>
        <v>23880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IFERROR(__xludf.DUMMYFUNCTION("IMPORTRANGE(""https://docs.google.com/spreadsheets/d/11923uPwbBZFjjGgGUA6NLw09EwE0CqkOc4q9oUmW1yo/edit?usp=sharing"",""เชียงราย!J286"")"),0)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IFERROR(__xludf.DUMMYFUNCTION("IMPORTRANGE(""https://docs.google.com/spreadsheets/d/11923uPwbBZFjjGgGUA6NLw09EwE0CqkOc4q9oUmW1yo/edit?usp=sharing"",""เชียงราย!J287"")"),1)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IFERROR(__xludf.DUMMYFUNCTION("IMPORTRANGE(""https://docs.google.com/spreadsheets/d/11923uPwbBZFjjGgGUA6NLw09EwE0CqkOc4q9oUmW1yo/edit?usp=sharing"",""เชียงราย!J288"")"),1)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IFERROR(__xludf.DUMMYFUNCTION("IMPORTRANGE(""https://docs.google.com/spreadsheets/d/11923uPwbBZFjjGgGUA6NLw09EwE0CqkOc4q9oUmW1yo/edit?usp=sharing"",""เชียงราย!J289"")"),1)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IFERROR(__xludf.DUMMYFUNCTION("IMPORTRANGE(""https://docs.google.com/spreadsheets/d/11923uPwbBZFjjGgGUA6NLw09EwE0CqkOc4q9oUmW1yo/edit?usp=sharing"",""เชียงราย!I291"")"),50)</f>
        <v>50</v>
      </c>
      <c r="J396" s="197">
        <f ca="1">IFERROR(__xludf.DUMMYFUNCTION("IMPORTRANGE(""https://docs.google.com/spreadsheets/d/11923uPwbBZFjjGgGUA6NLw09EwE0CqkOc4q9oUmW1yo/edit?usp=sharing"",""เชียงราย!J291"")"),70)</f>
        <v>70</v>
      </c>
      <c r="K396" s="163">
        <f t="shared" ref="K396:K398" ca="1" si="110">IF(I396&gt;0,J396*100/I396,0)</f>
        <v>140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IFERROR(__xludf.DUMMYFUNCTION("IMPORTRANGE(""https://docs.google.com/spreadsheets/d/11923uPwbBZFjjGgGUA6NLw09EwE0CqkOc4q9oUmW1yo/edit?usp=sharing"",""เชียงราย!I292"")"),500)</f>
        <v>500</v>
      </c>
      <c r="J397" s="197">
        <f ca="1">IFERROR(__xludf.DUMMYFUNCTION("IMPORTRANGE(""https://docs.google.com/spreadsheets/d/11923uPwbBZFjjGgGUA6NLw09EwE0CqkOc4q9oUmW1yo/edit?usp=sharing"",""เชียงราย!J292"")"),0)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IFERROR(__xludf.DUMMYFUNCTION("IMPORTRANGE(""https://docs.google.com/spreadsheets/d/11923uPwbBZFjjGgGUA6NLw09EwE0CqkOc4q9oUmW1yo/edit?usp=sharing"",""เชียงราย!I293"")"),50)</f>
        <v>50</v>
      </c>
      <c r="J398" s="197">
        <f ca="1">IFERROR(__xludf.DUMMYFUNCTION("IMPORTRANGE(""https://docs.google.com/spreadsheets/d/11923uPwbBZFjjGgGUA6NLw09EwE0CqkOc4q9oUmW1yo/edit?usp=sharing"",""เชียงราย!J293"")"),0)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IFERROR(__xludf.DUMMYFUNCTION("IMPORTRANGE(""https://docs.google.com/spreadsheets/d/11923uPwbBZFjjGgGUA6NLw09EwE0CqkOc4q9oUmW1yo/edit?usp=sharing"",""เชียงราย!J294"")"),0)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IFERROR(__xludf.DUMMYFUNCTION("IMPORTRANGE(""https://docs.google.com/spreadsheets/d/11923uPwbBZFjjGgGUA6NLw09EwE0CqkOc4q9oUmW1yo/edit?usp=sharing"",""เชียงราย!J295"")"),0)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IFERROR(__xludf.DUMMYFUNCTION("IMPORTRANGE(""https://docs.google.com/spreadsheets/d/11923uPwbBZFjjGgGUA6NLw09EwE0CqkOc4q9oUmW1yo/edit?usp=sharing"",""เชียงราย!I296"")"),174)</f>
        <v>174</v>
      </c>
      <c r="J401" s="370">
        <f ca="1">IFERROR(__xludf.DUMMYFUNCTION("IMPORTRANGE(""https://docs.google.com/spreadsheets/d/11923uPwbBZFjjGgGUA6NLw09EwE0CqkOc4q9oUmW1yo/edit?usp=sharing"",""เชียงราย!J296"")"),174)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IFERROR(__xludf.DUMMYFUNCTION("IMPORTRANGE(""https://docs.google.com/spreadsheets/d/11923uPwbBZFjjGgGUA6NLw09EwE0CqkOc4q9oUmW1yo/edit?usp=sharing"",""เชียงราย!L296"")"),195900)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IFERROR(__xludf.DUMMYFUNCTION("IMPORTRANGE(""https://docs.google.com/spreadsheets/d/11923uPwbBZFjjGgGUA6NLw09EwE0CqkOc4q9oUmW1yo/edit?usp=sharing"",""เชียงราย!M296"")"),172446.95)</f>
        <v>172446.95</v>
      </c>
      <c r="O401" s="372">
        <f ca="1">+IF(L401&gt;0,N401*100/L401,0)</f>
        <v>88.028050025523228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IFERROR(__xludf.DUMMYFUNCTION("IMPORTRANGE(""https://docs.google.com/spreadsheets/d/11923uPwbBZFjjGgGUA6NLw09EwE0CqkOc4q9oUmW1yo/edit?usp=sharing"",""เชียงราย!I297"")"),58)</f>
        <v>58</v>
      </c>
      <c r="J402" s="370">
        <f ca="1">IFERROR(__xludf.DUMMYFUNCTION("IMPORTRANGE(""https://docs.google.com/spreadsheets/d/11923uPwbBZFjjGgGUA6NLw09EwE0CqkOc4q9oUmW1yo/edit?usp=sharing"",""เชียงราย!J297"")"),58)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IFERROR(__xludf.DUMMYFUNCTION("IMPORTRANGE(""https://docs.google.com/spreadsheets/d/11923uPwbBZFjjGgGUA6NLw09EwE0CqkOc4q9oUmW1yo/edit?usp=sharing"",""เชียงราย!L298"")"),0)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IFERROR(__xludf.DUMMYFUNCTION("IMPORTRANGE(""https://docs.google.com/spreadsheets/d/11923uPwbBZFjjGgGUA6NLw09EwE0CqkOc4q9oUmW1yo/edit?usp=sharing"",""เชียงราย!M298"")"),0)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IFERROR(__xludf.DUMMYFUNCTION("IMPORTRANGE(""https://docs.google.com/spreadsheets/d/11923uPwbBZFjjGgGUA6NLw09EwE0CqkOc4q9oUmW1yo/edit?usp=sharing"",""เชียงราย!L299"")"),195900)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IFERROR(__xludf.DUMMYFUNCTION("IMPORTRANGE(""https://docs.google.com/spreadsheets/d/11923uPwbBZFjjGgGUA6NLw09EwE0CqkOc4q9oUmW1yo/edit?usp=sharing"",""เชียงราย!M299"")"),172446.95)</f>
        <v>172446.95</v>
      </c>
      <c r="O404" s="168">
        <f t="shared" ca="1" si="112"/>
        <v>88.028050025523228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IFERROR(__xludf.DUMMYFUNCTION("IMPORTRANGE(""https://docs.google.com/spreadsheets/d/11923uPwbBZFjjGgGUA6NLw09EwE0CqkOc4q9oUmW1yo/edit?usp=sharing"",""เชียงราย!L300"")"),0)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IFERROR(__xludf.DUMMYFUNCTION("IMPORTRANGE(""https://docs.google.com/spreadsheets/d/11923uPwbBZFjjGgGUA6NLw09EwE0CqkOc4q9oUmW1yo/edit?usp=sharing"",""เชียงราย!M300"")"),0)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IFERROR(__xludf.DUMMYFUNCTION("IMPORTRANGE(""https://docs.google.com/spreadsheets/d/11923uPwbBZFjjGgGUA6NLw09EwE0CqkOc4q9oUmW1yo/edit?usp=sharing"",""เชียงราย!L301"")"),195900)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IFERROR(__xludf.DUMMYFUNCTION("IMPORTRANGE(""https://docs.google.com/spreadsheets/d/11923uPwbBZFjjGgGUA6NLw09EwE0CqkOc4q9oUmW1yo/edit?usp=sharing"",""เชียงราย!M301"")"),172446.95)</f>
        <v>172446.95</v>
      </c>
      <c r="O406" s="168">
        <f t="shared" ca="1" si="112"/>
        <v>88.028050025523228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IFERROR(__xludf.DUMMYFUNCTION("IMPORTRANGE(""https://docs.google.com/spreadsheets/d/11923uPwbBZFjjGgGUA6NLw09EwE0CqkOc4q9oUmW1yo/edit?usp=sharing"",""เชียงราย!M302"")"),119122)</f>
        <v>119122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IFERROR(__xludf.DUMMYFUNCTION("IMPORTRANGE(""https://docs.google.com/spreadsheets/d/11923uPwbBZFjjGgGUA6NLw09EwE0CqkOc4q9oUmW1yo/edit?usp=sharing"",""เชียงราย!M303"")"),34634.95)</f>
        <v>34634.949999999997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IFERROR(__xludf.DUMMYFUNCTION("IMPORTRANGE(""https://docs.google.com/spreadsheets/d/11923uPwbBZFjjGgGUA6NLw09EwE0CqkOc4q9oUmW1yo/edit?usp=sharing"",""เชียงราย!M304"")"),0)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IFERROR(__xludf.DUMMYFUNCTION("IMPORTRANGE(""https://docs.google.com/spreadsheets/d/11923uPwbBZFjjGgGUA6NLw09EwE0CqkOc4q9oUmW1yo/edit?usp=sharing"",""เชียงราย!M305"")"),18690)</f>
        <v>18690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IFERROR(__xludf.DUMMYFUNCTION("IMPORTRANGE(""https://docs.google.com/spreadsheets/d/11923uPwbBZFjjGgGUA6NLw09EwE0CqkOc4q9oUmW1yo/edit?usp=sharing"",""เชียงราย!J307"")"),0)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IFERROR(__xludf.DUMMYFUNCTION("IMPORTRANGE(""https://docs.google.com/spreadsheets/d/11923uPwbBZFjjGgGUA6NLw09EwE0CqkOc4q9oUmW1yo/edit?usp=sharing"",""เชียงราย!J308"")"),1)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IFERROR(__xludf.DUMMYFUNCTION("IMPORTRANGE(""https://docs.google.com/spreadsheets/d/11923uPwbBZFjjGgGUA6NLw09EwE0CqkOc4q9oUmW1yo/edit?usp=sharing"",""เชียงราย!J309"")"),1)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IFERROR(__xludf.DUMMYFUNCTION("IMPORTRANGE(""https://docs.google.com/spreadsheets/d/11923uPwbBZFjjGgGUA6NLw09EwE0CqkOc4q9oUmW1yo/edit?usp=sharing"",""เชียงราย!J310"")"),1)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IFERROR(__xludf.DUMMYFUNCTION("IMPORTRANGE(""https://docs.google.com/spreadsheets/d/11923uPwbBZFjjGgGUA6NLw09EwE0CqkOc4q9oUmW1yo/edit?usp=sharing"",""เชียงราย!I311"")"),58)</f>
        <v>58</v>
      </c>
      <c r="J416" s="200">
        <f ca="1">IFERROR(__xludf.DUMMYFUNCTION("IMPORTRANGE(""https://docs.google.com/spreadsheets/d/11923uPwbBZFjjGgGUA6NLw09EwE0CqkOc4q9oUmW1yo/edit?usp=sharing"",""เชียงราย!J311"")"),58)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IFERROR(__xludf.DUMMYFUNCTION("IMPORTRANGE(""https://docs.google.com/spreadsheets/d/11923uPwbBZFjjGgGUA6NLw09EwE0CqkOc4q9oUmW1yo/edit?usp=sharing"",""เชียงราย!I312"")"),10)</f>
        <v>10</v>
      </c>
      <c r="J417" s="391">
        <f ca="1">IFERROR(__xludf.DUMMYFUNCTION("IMPORTRANGE(""https://docs.google.com/spreadsheets/d/11923uPwbBZFjjGgGUA6NLw09EwE0CqkOc4q9oUmW1yo/edit?usp=sharing"",""เชียงราย!J312"")"),10)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IFERROR(__xludf.DUMMYFUNCTION("IMPORTRANGE(""https://docs.google.com/spreadsheets/d/11923uPwbBZFjjGgGUA6NLw09EwE0CqkOc4q9oUmW1yo/edit?usp=sharing"",""เชียงราย!I313"")"),30)</f>
        <v>30</v>
      </c>
      <c r="J418" s="392">
        <f ca="1">IFERROR(__xludf.DUMMYFUNCTION("IMPORTRANGE(""https://docs.google.com/spreadsheets/d/11923uPwbBZFjjGgGUA6NLw09EwE0CqkOc4q9oUmW1yo/edit?usp=sharing"",""เชียงราย!J313"")"),30)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IFERROR(__xludf.DUMMYFUNCTION("IMPORTRANGE(""https://docs.google.com/spreadsheets/d/11923uPwbBZFjjGgGUA6NLw09EwE0CqkOc4q9oUmW1yo/edit?usp=sharing"",""เชียงราย!I314"")"),10)</f>
        <v>10</v>
      </c>
      <c r="J419" s="393">
        <f ca="1">IFERROR(__xludf.DUMMYFUNCTION("IMPORTRANGE(""https://docs.google.com/spreadsheets/d/11923uPwbBZFjjGgGUA6NLw09EwE0CqkOc4q9oUmW1yo/edit?usp=sharing"",""เชียงราย!J314"")"),10)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IFERROR(__xludf.DUMMYFUNCTION("IMPORTRANGE(""https://docs.google.com/spreadsheets/d/11923uPwbBZFjjGgGUA6NLw09EwE0CqkOc4q9oUmW1yo/edit?usp=sharing"",""เชียงราย!I315"")"),10)</f>
        <v>10</v>
      </c>
      <c r="J420" s="393">
        <f ca="1">IFERROR(__xludf.DUMMYFUNCTION("IMPORTRANGE(""https://docs.google.com/spreadsheets/d/11923uPwbBZFjjGgGUA6NLw09EwE0CqkOc4q9oUmW1yo/edit?usp=sharing"",""เชียงราย!J315"")"),10)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IFERROR(__xludf.DUMMYFUNCTION("IMPORTRANGE(""https://docs.google.com/spreadsheets/d/11923uPwbBZFjjGgGUA6NLw09EwE0CqkOc4q9oUmW1yo/edit?usp=sharing"",""เชียงราย!I316"")"),38)</f>
        <v>38</v>
      </c>
      <c r="J421" s="391">
        <f ca="1">IFERROR(__xludf.DUMMYFUNCTION("IMPORTRANGE(""https://docs.google.com/spreadsheets/d/11923uPwbBZFjjGgGUA6NLw09EwE0CqkOc4q9oUmW1yo/edit?usp=sharing"",""เชียงราย!J316"")"),38)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IFERROR(__xludf.DUMMYFUNCTION("IMPORTRANGE(""https://docs.google.com/spreadsheets/d/11923uPwbBZFjjGgGUA6NLw09EwE0CqkOc4q9oUmW1yo/edit?usp=sharing"",""เชียงราย!I317"")"),114)</f>
        <v>114</v>
      </c>
      <c r="J422" s="392">
        <f ca="1">IFERROR(__xludf.DUMMYFUNCTION("IMPORTRANGE(""https://docs.google.com/spreadsheets/d/11923uPwbBZFjjGgGUA6NLw09EwE0CqkOc4q9oUmW1yo/edit?usp=sharing"",""เชียงราย!J317"")"),114)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IFERROR(__xludf.DUMMYFUNCTION("IMPORTRANGE(""https://docs.google.com/spreadsheets/d/11923uPwbBZFjjGgGUA6NLw09EwE0CqkOc4q9oUmW1yo/edit?usp=sharing"",""เชียงราย!I318"")"),38)</f>
        <v>38</v>
      </c>
      <c r="J423" s="393">
        <f ca="1">IFERROR(__xludf.DUMMYFUNCTION("IMPORTRANGE(""https://docs.google.com/spreadsheets/d/11923uPwbBZFjjGgGUA6NLw09EwE0CqkOc4q9oUmW1yo/edit?usp=sharing"",""เชียงราย!J318"")"),38)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IFERROR(__xludf.DUMMYFUNCTION("IMPORTRANGE(""https://docs.google.com/spreadsheets/d/11923uPwbBZFjjGgGUA6NLw09EwE0CqkOc4q9oUmW1yo/edit?usp=sharing"",""เชียงราย!I319"")"),38)</f>
        <v>38</v>
      </c>
      <c r="J424" s="393">
        <f ca="1">IFERROR(__xludf.DUMMYFUNCTION("IMPORTRANGE(""https://docs.google.com/spreadsheets/d/11923uPwbBZFjjGgGUA6NLw09EwE0CqkOc4q9oUmW1yo/edit?usp=sharing"",""เชียงราย!J319"")"),38)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IFERROR(__xludf.DUMMYFUNCTION("IMPORTRANGE(""https://docs.google.com/spreadsheets/d/11923uPwbBZFjjGgGUA6NLw09EwE0CqkOc4q9oUmW1yo/edit?usp=sharing"",""เชียงราย!I320"")"),38)</f>
        <v>38</v>
      </c>
      <c r="J425" s="393">
        <f ca="1">IFERROR(__xludf.DUMMYFUNCTION("IMPORTRANGE(""https://docs.google.com/spreadsheets/d/11923uPwbBZFjjGgGUA6NLw09EwE0CqkOc4q9oUmW1yo/edit?usp=sharing"",""เชียงราย!J320"")"),38)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IFERROR(__xludf.DUMMYFUNCTION("IMPORTRANGE(""https://docs.google.com/spreadsheets/d/11923uPwbBZFjjGgGUA6NLw09EwE0CqkOc4q9oUmW1yo/edit?usp=sharing"",""เชียงราย!I321"")"),10)</f>
        <v>10</v>
      </c>
      <c r="J426" s="391">
        <f ca="1">IFERROR(__xludf.DUMMYFUNCTION("IMPORTRANGE(""https://docs.google.com/spreadsheets/d/11923uPwbBZFjjGgGUA6NLw09EwE0CqkOc4q9oUmW1yo/edit?usp=sharing"",""เชียงราย!J321"")"),10)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IFERROR(__xludf.DUMMYFUNCTION("IMPORTRANGE(""https://docs.google.com/spreadsheets/d/11923uPwbBZFjjGgGUA6NLw09EwE0CqkOc4q9oUmW1yo/edit?usp=sharing"",""เชียงราย!I322"")"),30)</f>
        <v>30</v>
      </c>
      <c r="J427" s="392">
        <f ca="1">IFERROR(__xludf.DUMMYFUNCTION("IMPORTRANGE(""https://docs.google.com/spreadsheets/d/11923uPwbBZFjjGgGUA6NLw09EwE0CqkOc4q9oUmW1yo/edit?usp=sharing"",""เชียงราย!J322"")"),30)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IFERROR(__xludf.DUMMYFUNCTION("IMPORTRANGE(""https://docs.google.com/spreadsheets/d/11923uPwbBZFjjGgGUA6NLw09EwE0CqkOc4q9oUmW1yo/edit?usp=sharing"",""เชียงราย!I323"")"),10)</f>
        <v>10</v>
      </c>
      <c r="J428" s="393">
        <f ca="1">IFERROR(__xludf.DUMMYFUNCTION("IMPORTRANGE(""https://docs.google.com/spreadsheets/d/11923uPwbBZFjjGgGUA6NLw09EwE0CqkOc4q9oUmW1yo/edit?usp=sharing"",""เชียงราย!J323"")"),10)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IFERROR(__xludf.DUMMYFUNCTION("IMPORTRANGE(""https://docs.google.com/spreadsheets/d/11923uPwbBZFjjGgGUA6NLw09EwE0CqkOc4q9oUmW1yo/edit?usp=sharing"",""เชียงราย!I324"")"),10)</f>
        <v>10</v>
      </c>
      <c r="J429" s="393">
        <f ca="1">IFERROR(__xludf.DUMMYFUNCTION("IMPORTRANGE(""https://docs.google.com/spreadsheets/d/11923uPwbBZFjjGgGUA6NLw09EwE0CqkOc4q9oUmW1yo/edit?usp=sharing"",""เชียงราย!J324"")"),10)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IFERROR(__xludf.DUMMYFUNCTION("IMPORTRANGE(""https://docs.google.com/spreadsheets/d/11923uPwbBZFjjGgGUA6NLw09EwE0CqkOc4q9oUmW1yo/edit?usp=sharing"",""เชียงราย!I325"")"),48)</f>
        <v>48</v>
      </c>
      <c r="J430" s="391">
        <f ca="1">IFERROR(__xludf.DUMMYFUNCTION("IMPORTRANGE(""https://docs.google.com/spreadsheets/d/11923uPwbBZFjjGgGUA6NLw09EwE0CqkOc4q9oUmW1yo/edit?usp=sharing"",""เชียงราย!J325"")"),0)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IFERROR(__xludf.DUMMYFUNCTION("IMPORTRANGE(""https://docs.google.com/spreadsheets/d/11923uPwbBZFjjGgGUA6NLw09EwE0CqkOc4q9oUmW1yo/edit?usp=sharing"",""เชียงราย!I326"")"),10)</f>
        <v>10</v>
      </c>
      <c r="J431" s="393">
        <f ca="1">IFERROR(__xludf.DUMMYFUNCTION("IMPORTRANGE(""https://docs.google.com/spreadsheets/d/11923uPwbBZFjjGgGUA6NLw09EwE0CqkOc4q9oUmW1yo/edit?usp=sharing"",""เชียงราย!J326"")"),0)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IFERROR(__xludf.DUMMYFUNCTION("IMPORTRANGE(""https://docs.google.com/spreadsheets/d/11923uPwbBZFjjGgGUA6NLw09EwE0CqkOc4q9oUmW1yo/edit?usp=sharing"",""เชียงราย!I327"")"),38)</f>
        <v>38</v>
      </c>
      <c r="J432" s="393">
        <f ca="1">IFERROR(__xludf.DUMMYFUNCTION("IMPORTRANGE(""https://docs.google.com/spreadsheets/d/11923uPwbBZFjjGgGUA6NLw09EwE0CqkOc4q9oUmW1yo/edit?usp=sharing"",""เชียงราย!J327"")"),0)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IFERROR(__xludf.DUMMYFUNCTION("IMPORTRANGE(""https://docs.google.com/spreadsheets/d/11923uPwbBZFjjGgGUA6NLw09EwE0CqkOc4q9oUmW1yo/edit?usp=sharing"",""เชียงราย!J328"")"),0)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IFERROR(__xludf.DUMMYFUNCTION("IMPORTRANGE(""https://docs.google.com/spreadsheets/d/11923uPwbBZFjjGgGUA6NLw09EwE0CqkOc4q9oUmW1yo/edit?usp=sharing"",""เชียงราย!J329"")"),0)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IFERROR(__xludf.DUMMYFUNCTION("IMPORTRANGE(""https://docs.google.com/spreadsheets/d/11923uPwbBZFjjGgGUA6NLw09EwE0CqkOc4q9oUmW1yo/edit?usp=sharing"",""เชียงราย!I330"")"),50)</f>
        <v>50</v>
      </c>
      <c r="J435" s="409">
        <f ca="1">IFERROR(__xludf.DUMMYFUNCTION("IMPORTRANGE(""https://docs.google.com/spreadsheets/d/11923uPwbBZFjjGgGUA6NLw09EwE0CqkOc4q9oUmW1yo/edit?usp=sharing"",""เชียงราย!J330"")"),50)</f>
        <v>50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IFERROR(__xludf.DUMMYFUNCTION("IMPORTRANGE(""https://docs.google.com/spreadsheets/d/11923uPwbBZFjjGgGUA6NLw09EwE0CqkOc4q9oUmW1yo/edit?usp=sharing"",""เชียงราย!L330"")"),159800)</f>
        <v>159800</v>
      </c>
      <c r="M435" s="411"/>
      <c r="N435" s="411">
        <f ca="1">IFERROR(__xludf.DUMMYFUNCTION("IMPORTRANGE(""https://docs.google.com/spreadsheets/d/11923uPwbBZFjjGgGUA6NLw09EwE0CqkOc4q9oUmW1yo/edit?usp=sharing"",""เชียงราย!M330"")"),117090)</f>
        <v>117090</v>
      </c>
      <c r="O435" s="411">
        <f t="shared" ref="O435:O439" ca="1" si="114">+IF(L435&gt;0,N435*100/L435,0)</f>
        <v>73.272841051314145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IFERROR(__xludf.DUMMYFUNCTION("IMPORTRANGE(""https://docs.google.com/spreadsheets/d/11923uPwbBZFjjGgGUA6NLw09EwE0CqkOc4q9oUmW1yo/edit?usp=sharing"",""เชียงราย!L331"")"),0)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IFERROR(__xludf.DUMMYFUNCTION("IMPORTRANGE(""https://docs.google.com/spreadsheets/d/11923uPwbBZFjjGgGUA6NLw09EwE0CqkOc4q9oUmW1yo/edit?usp=sharing"",""เชียงราย!M331"")"),0)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IFERROR(__xludf.DUMMYFUNCTION("IMPORTRANGE(""https://docs.google.com/spreadsheets/d/11923uPwbBZFjjGgGUA6NLw09EwE0CqkOc4q9oUmW1yo/edit?usp=sharing"",""เชียงราย!L332"")"),159800)</f>
        <v>159800</v>
      </c>
      <c r="M437" s="165"/>
      <c r="N437" s="168">
        <f ca="1">IFERROR(__xludf.DUMMYFUNCTION("IMPORTRANGE(""https://docs.google.com/spreadsheets/d/11923uPwbBZFjjGgGUA6NLw09EwE0CqkOc4q9oUmW1yo/edit?usp=sharing"",""เชียงราย!M332"")"),117090)</f>
        <v>117090</v>
      </c>
      <c r="O437" s="168">
        <f t="shared" ca="1" si="114"/>
        <v>73.272841051314145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IFERROR(__xludf.DUMMYFUNCTION("IMPORTRANGE(""https://docs.google.com/spreadsheets/d/11923uPwbBZFjjGgGUA6NLw09EwE0CqkOc4q9oUmW1yo/edit?usp=sharing"",""เชียงราย!L333"")"),0)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IFERROR(__xludf.DUMMYFUNCTION("IMPORTRANGE(""https://docs.google.com/spreadsheets/d/11923uPwbBZFjjGgGUA6NLw09EwE0CqkOc4q9oUmW1yo/edit?usp=sharing"",""เชียงราย!M333"")"),0)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IFERROR(__xludf.DUMMYFUNCTION("IMPORTRANGE(""https://docs.google.com/spreadsheets/d/11923uPwbBZFjjGgGUA6NLw09EwE0CqkOc4q9oUmW1yo/edit?usp=sharing"",""เชียงราย!L334"")"),159800)</f>
        <v>159800</v>
      </c>
      <c r="M439" s="168"/>
      <c r="N439" s="168">
        <f ca="1">IFERROR(__xludf.DUMMYFUNCTION("IMPORTRANGE(""https://docs.google.com/spreadsheets/d/11923uPwbBZFjjGgGUA6NLw09EwE0CqkOc4q9oUmW1yo/edit?usp=sharing"",""เชียงราย!M334"")"),117090)</f>
        <v>117090</v>
      </c>
      <c r="O439" s="168">
        <f t="shared" ca="1" si="114"/>
        <v>73.272841051314145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IFERROR(__xludf.DUMMYFUNCTION("IMPORTRANGE(""https://docs.google.com/spreadsheets/d/11923uPwbBZFjjGgGUA6NLw09EwE0CqkOc4q9oUmW1yo/edit?usp=sharing"",""เชียงราย!M335"")"),109000)</f>
        <v>109000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IFERROR(__xludf.DUMMYFUNCTION("IMPORTRANGE(""https://docs.google.com/spreadsheets/d/11923uPwbBZFjjGgGUA6NLw09EwE0CqkOc4q9oUmW1yo/edit?usp=sharing"",""เชียงราย!M336"")"),0)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IFERROR(__xludf.DUMMYFUNCTION("IMPORTRANGE(""https://docs.google.com/spreadsheets/d/11923uPwbBZFjjGgGUA6NLw09EwE0CqkOc4q9oUmW1yo/edit?usp=sharing"",""เชียงราย!M337"")"),0)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IFERROR(__xludf.DUMMYFUNCTION("IMPORTRANGE(""https://docs.google.com/spreadsheets/d/11923uPwbBZFjjGgGUA6NLw09EwE0CqkOc4q9oUmW1yo/edit?usp=sharing"",""เชียงราย!M338"")"),8090)</f>
        <v>8090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IFERROR(__xludf.DUMMYFUNCTION("IMPORTRANGE(""https://docs.google.com/spreadsheets/d/11923uPwbBZFjjGgGUA6NLw09EwE0CqkOc4q9oUmW1yo/edit?usp=sharing"",""เชียงราย!J340"")"),0)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IFERROR(__xludf.DUMMYFUNCTION("IMPORTRANGE(""https://docs.google.com/spreadsheets/d/11923uPwbBZFjjGgGUA6NLw09EwE0CqkOc4q9oUmW1yo/edit?usp=sharing"",""เชียงราย!J341"")"),1)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IFERROR(__xludf.DUMMYFUNCTION("IMPORTRANGE(""https://docs.google.com/spreadsheets/d/11923uPwbBZFjjGgGUA6NLw09EwE0CqkOc4q9oUmW1yo/edit?usp=sharing"",""เชียงราย!J342"")"),1)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IFERROR(__xludf.DUMMYFUNCTION("IMPORTRANGE(""https://docs.google.com/spreadsheets/d/11923uPwbBZFjjGgGUA6NLw09EwE0CqkOc4q9oUmW1yo/edit?usp=sharing"",""เชียงราย!J343"")"),1)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IFERROR(__xludf.DUMMYFUNCTION("IMPORTRANGE(""https://docs.google.com/spreadsheets/d/11923uPwbBZFjjGgGUA6NLw09EwE0CqkOc4q9oUmW1yo/edit?usp=sharing"",""เชียงราย!I344"")"),50)</f>
        <v>50</v>
      </c>
      <c r="J449" s="200">
        <f ca="1">IFERROR(__xludf.DUMMYFUNCTION("IMPORTRANGE(""https://docs.google.com/spreadsheets/d/11923uPwbBZFjjGgGUA6NLw09EwE0CqkOc4q9oUmW1yo/edit?usp=sharing"",""เชียงราย!J344"")"),50)</f>
        <v>50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IFERROR(__xludf.DUMMYFUNCTION("IMPORTRANGE(""https://docs.google.com/spreadsheets/d/11923uPwbBZFjjGgGUA6NLw09EwE0CqkOc4q9oUmW1yo/edit?usp=sharing"",""เชียงราย!I345"")"),20)</f>
        <v>20</v>
      </c>
      <c r="J450" s="188">
        <f ca="1">IFERROR(__xludf.DUMMYFUNCTION("IMPORTRANGE(""https://docs.google.com/spreadsheets/d/11923uPwbBZFjjGgGUA6NLw09EwE0CqkOc4q9oUmW1yo/edit?usp=sharing"",""เชียงราย!J345"")"),20)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IFERROR(__xludf.DUMMYFUNCTION("IMPORTRANGE(""https://docs.google.com/spreadsheets/d/11923uPwbBZFjjGgGUA6NLw09EwE0CqkOc4q9oUmW1yo/edit?usp=sharing"",""เชียงราย!I346"")"),30)</f>
        <v>30</v>
      </c>
      <c r="J451" s="187">
        <f ca="1">IFERROR(__xludf.DUMMYFUNCTION("IMPORTRANGE(""https://docs.google.com/spreadsheets/d/11923uPwbBZFjjGgGUA6NLw09EwE0CqkOc4q9oUmW1yo/edit?usp=sharing"",""เชียงราย!J346"")"),30)</f>
        <v>30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IFERROR(__xludf.DUMMYFUNCTION("IMPORTRANGE(""https://docs.google.com/spreadsheets/d/11923uPwbBZFjjGgGUA6NLw09EwE0CqkOc4q9oUmW1yo/edit?usp=sharing"",""เชียงราย!I347"")"),0)</f>
        <v>0</v>
      </c>
      <c r="J452" s="187">
        <f ca="1">IFERROR(__xludf.DUMMYFUNCTION("IMPORTRANGE(""https://docs.google.com/spreadsheets/d/11923uPwbBZFjjGgGUA6NLw09EwE0CqkOc4q9oUmW1yo/edit?usp=sharing"",""เชียงราย!J347"")"),0)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IFERROR(__xludf.DUMMYFUNCTION("IMPORTRANGE(""https://docs.google.com/spreadsheets/d/11923uPwbBZFjjGgGUA6NLw09EwE0CqkOc4q9oUmW1yo/edit?usp=sharing"",""เชียงราย!J348"")"),0)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IFERROR(__xludf.DUMMYFUNCTION("IMPORTRANGE(""https://docs.google.com/spreadsheets/d/11923uPwbBZFjjGgGUA6NLw09EwE0CqkOc4q9oUmW1yo/edit?usp=sharing"",""เชียงราย!J349"")"),0)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IFERROR(__xludf.DUMMYFUNCTION("IMPORTRANGE(""https://docs.google.com/spreadsheets/d/11923uPwbBZFjjGgGUA6NLw09EwE0CqkOc4q9oUmW1yo/edit?usp=sharing"",""เชียงราย!I350"")"),49473)</f>
        <v>49473</v>
      </c>
      <c r="J455" s="370">
        <f ca="1">IFERROR(__xludf.DUMMYFUNCTION("IMPORTRANGE(""https://docs.google.com/spreadsheets/d/11923uPwbBZFjjGgGUA6NLw09EwE0CqkOc4q9oUmW1yo/edit?usp=sharing"",""เชียงราย!J350"")"),42904)</f>
        <v>42904</v>
      </c>
      <c r="K455" s="371">
        <f ca="1">IF(I455&gt;0,J455*100/I455,0)</f>
        <v>86.722050411335474</v>
      </c>
      <c r="L455" s="372">
        <f ca="1">IFERROR(__xludf.DUMMYFUNCTION("IMPORTRANGE(""https://docs.google.com/spreadsheets/d/11923uPwbBZFjjGgGUA6NLw09EwE0CqkOc4q9oUmW1yo/edit?usp=sharing"",""เชียงราย!L350"")"),541453)</f>
        <v>541453</v>
      </c>
      <c r="M455" s="372"/>
      <c r="N455" s="372">
        <f ca="1">IFERROR(__xludf.DUMMYFUNCTION("IMPORTRANGE(""https://docs.google.com/spreadsheets/d/11923uPwbBZFjjGgGUA6NLw09EwE0CqkOc4q9oUmW1yo/edit?usp=sharing"",""เชียงราย!M350"")"),209260)</f>
        <v>209260</v>
      </c>
      <c r="O455" s="372">
        <f t="shared" ref="O455:O459" ca="1" si="116">+IF(L455&gt;0,N455*100/L455,0)</f>
        <v>38.647860479118222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IFERROR(__xludf.DUMMYFUNCTION("IMPORTRANGE(""https://docs.google.com/spreadsheets/d/11923uPwbBZFjjGgGUA6NLw09EwE0CqkOc4q9oUmW1yo/edit?usp=sharing"",""เชียงราย!L351"")"),0)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IFERROR(__xludf.DUMMYFUNCTION("IMPORTRANGE(""https://docs.google.com/spreadsheets/d/11923uPwbBZFjjGgGUA6NLw09EwE0CqkOc4q9oUmW1yo/edit?usp=sharing"",""เชียงราย!M351"")"),0)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IFERROR(__xludf.DUMMYFUNCTION("IMPORTRANGE(""https://docs.google.com/spreadsheets/d/11923uPwbBZFjjGgGUA6NLw09EwE0CqkOc4q9oUmW1yo/edit?usp=sharing"",""เชียงราย!L352"")"),541453)</f>
        <v>541453</v>
      </c>
      <c r="M457" s="165"/>
      <c r="N457" s="168">
        <f ca="1">IFERROR(__xludf.DUMMYFUNCTION("IMPORTRANGE(""https://docs.google.com/spreadsheets/d/11923uPwbBZFjjGgGUA6NLw09EwE0CqkOc4q9oUmW1yo/edit?usp=sharing"",""เชียงราย!M352"")"),209260)</f>
        <v>209260</v>
      </c>
      <c r="O457" s="168">
        <f t="shared" ca="1" si="116"/>
        <v>38.647860479118222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IFERROR(__xludf.DUMMYFUNCTION("IMPORTRANGE(""https://docs.google.com/spreadsheets/d/11923uPwbBZFjjGgGUA6NLw09EwE0CqkOc4q9oUmW1yo/edit?usp=sharing"",""เชียงราย!L353"")"),0)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IFERROR(__xludf.DUMMYFUNCTION("IMPORTRANGE(""https://docs.google.com/spreadsheets/d/11923uPwbBZFjjGgGUA6NLw09EwE0CqkOc4q9oUmW1yo/edit?usp=sharing"",""เชียงราย!M353"")"),0)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IFERROR(__xludf.DUMMYFUNCTION("IMPORTRANGE(""https://docs.google.com/spreadsheets/d/11923uPwbBZFjjGgGUA6NLw09EwE0CqkOc4q9oUmW1yo/edit?usp=sharing"",""เชียงราย!L354"")"),541453)</f>
        <v>541453</v>
      </c>
      <c r="M459" s="168"/>
      <c r="N459" s="168">
        <f ca="1">IFERROR(__xludf.DUMMYFUNCTION("IMPORTRANGE(""https://docs.google.com/spreadsheets/d/11923uPwbBZFjjGgGUA6NLw09EwE0CqkOc4q9oUmW1yo/edit?usp=sharing"",""เชียงราย!M354"")"),209260)</f>
        <v>209260</v>
      </c>
      <c r="O459" s="168">
        <f t="shared" ca="1" si="116"/>
        <v>38.647860479118222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IFERROR(__xludf.DUMMYFUNCTION("IMPORTRANGE(""https://docs.google.com/spreadsheets/d/11923uPwbBZFjjGgGUA6NLw09EwE0CqkOc4q9oUmW1yo/edit?usp=sharing"",""เชียงราย!M355"")"),0)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IFERROR(__xludf.DUMMYFUNCTION("IMPORTRANGE(""https://docs.google.com/spreadsheets/d/11923uPwbBZFjjGgGUA6NLw09EwE0CqkOc4q9oUmW1yo/edit?usp=sharing"",""เชียงราย!M356"")"),0)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IFERROR(__xludf.DUMMYFUNCTION("IMPORTRANGE(""https://docs.google.com/spreadsheets/d/11923uPwbBZFjjGgGUA6NLw09EwE0CqkOc4q9oUmW1yo/edit?usp=sharing"",""เชียงราย!M357"")"),52500)</f>
        <v>52500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IFERROR(__xludf.DUMMYFUNCTION("IMPORTRANGE(""https://docs.google.com/spreadsheets/d/11923uPwbBZFjjGgGUA6NLw09EwE0CqkOc4q9oUmW1yo/edit?usp=sharing"",""เชียงราย!M358"")"),156760)</f>
        <v>156760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IFERROR(__xludf.DUMMYFUNCTION("IMPORTRANGE(""https://docs.google.com/spreadsheets/d/11923uPwbBZFjjGgGUA6NLw09EwE0CqkOc4q9oUmW1yo/edit?usp=sharing"",""เชียงราย!I359"")"),49473)</f>
        <v>49473</v>
      </c>
      <c r="J464" s="267">
        <f ca="1">IFERROR(__xludf.DUMMYFUNCTION("IMPORTRANGE(""https://docs.google.com/spreadsheets/d/11923uPwbBZFjjGgGUA6NLw09EwE0CqkOc4q9oUmW1yo/edit?usp=sharing"",""เชียงราย!J359"")"),42904)</f>
        <v>42904</v>
      </c>
      <c r="K464" s="268">
        <f t="shared" ref="K464:K515" ca="1" si="117">IF(I464&gt;0,J464*100/I464,0)</f>
        <v>86.722050411335474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IFERROR(__xludf.DUMMYFUNCTION("IMPORTRANGE(""https://docs.google.com/spreadsheets/d/11923uPwbBZFjjGgGUA6NLw09EwE0CqkOc4q9oUmW1yo/edit?usp=sharing"",""เชียงราย!I360"")"),49473)</f>
        <v>49473</v>
      </c>
      <c r="J465" s="420">
        <f ca="1">IFERROR(__xludf.DUMMYFUNCTION("IMPORTRANGE(""https://docs.google.com/spreadsheets/d/11923uPwbBZFjjGgGUA6NLw09EwE0CqkOc4q9oUmW1yo/edit?usp=sharing"",""เชียงราย!J360"")"),49473)</f>
        <v>49473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IFERROR(__xludf.DUMMYFUNCTION("IMPORTRANGE(""https://docs.google.com/spreadsheets/d/11923uPwbBZFjjGgGUA6NLw09EwE0CqkOc4q9oUmW1yo/edit?usp=sharing"",""เชียงราย!I361"")"),9843)</f>
        <v>9843</v>
      </c>
      <c r="J466" s="420">
        <f ca="1">IFERROR(__xludf.DUMMYFUNCTION("IMPORTRANGE(""https://docs.google.com/spreadsheets/d/11923uPwbBZFjjGgGUA6NLw09EwE0CqkOc4q9oUmW1yo/edit?usp=sharing"",""เชียงราย!J361"")"),9843)</f>
        <v>9843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IFERROR(__xludf.DUMMYFUNCTION("IMPORTRANGE(""https://docs.google.com/spreadsheets/d/11923uPwbBZFjjGgGUA6NLw09EwE0CqkOc4q9oUmW1yo/edit?usp=sharing"",""เชียงราย!I362"")"),0)</f>
        <v>0</v>
      </c>
      <c r="J467" s="188">
        <f ca="1">IFERROR(__xludf.DUMMYFUNCTION("IMPORTRANGE(""https://docs.google.com/spreadsheets/d/11923uPwbBZFjjGgGUA6NLw09EwE0CqkOc4q9oUmW1yo/edit?usp=sharing"",""เชียงราย!J362"")"),42857)</f>
        <v>42857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IFERROR(__xludf.DUMMYFUNCTION("IMPORTRANGE(""https://docs.google.com/spreadsheets/d/11923uPwbBZFjjGgGUA6NLw09EwE0CqkOc4q9oUmW1yo/edit?usp=sharing"",""เชียงราย!I363"")"),0)</f>
        <v>0</v>
      </c>
      <c r="J468" s="188">
        <f ca="1">IFERROR(__xludf.DUMMYFUNCTION("IMPORTRANGE(""https://docs.google.com/spreadsheets/d/11923uPwbBZFjjGgGUA6NLw09EwE0CqkOc4q9oUmW1yo/edit?usp=sharing"",""เชียงราย!J363"")"),8730)</f>
        <v>8730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IFERROR(__xludf.DUMMYFUNCTION("IMPORTRANGE(""https://docs.google.com/spreadsheets/d/11923uPwbBZFjjGgGUA6NLw09EwE0CqkOc4q9oUmW1yo/edit?usp=sharing"",""เชียงราย!I364"")"),0)</f>
        <v>0</v>
      </c>
      <c r="J469" s="188">
        <f ca="1">IFERROR(__xludf.DUMMYFUNCTION("IMPORTRANGE(""https://docs.google.com/spreadsheets/d/11923uPwbBZFjjGgGUA6NLw09EwE0CqkOc4q9oUmW1yo/edit?usp=sharing"",""เชียงราย!J364"")"),5964)</f>
        <v>5964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IFERROR(__xludf.DUMMYFUNCTION("IMPORTRANGE(""https://docs.google.com/spreadsheets/d/11923uPwbBZFjjGgGUA6NLw09EwE0CqkOc4q9oUmW1yo/edit?usp=sharing"",""เชียงราย!I365"")"),0)</f>
        <v>0</v>
      </c>
      <c r="J470" s="188">
        <f ca="1">IFERROR(__xludf.DUMMYFUNCTION("IMPORTRANGE(""https://docs.google.com/spreadsheets/d/11923uPwbBZFjjGgGUA6NLw09EwE0CqkOc4q9oUmW1yo/edit?usp=sharing"",""เชียงราย!J365"")"),987)</f>
        <v>987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IFERROR(__xludf.DUMMYFUNCTION("IMPORTRANGE(""https://docs.google.com/spreadsheets/d/11923uPwbBZFjjGgGUA6NLw09EwE0CqkOc4q9oUmW1yo/edit?usp=sharing"",""เชียงราย!I366"")"),0)</f>
        <v>0</v>
      </c>
      <c r="J471" s="188">
        <f ca="1">IFERROR(__xludf.DUMMYFUNCTION("IMPORTRANGE(""https://docs.google.com/spreadsheets/d/11923uPwbBZFjjGgGUA6NLw09EwE0CqkOc4q9oUmW1yo/edit?usp=sharing"",""เชียงราย!J366"")"),652)</f>
        <v>652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IFERROR(__xludf.DUMMYFUNCTION("IMPORTRANGE(""https://docs.google.com/spreadsheets/d/11923uPwbBZFjjGgGUA6NLw09EwE0CqkOc4q9oUmW1yo/edit?usp=sharing"",""เชียงราย!I367"")"),0)</f>
        <v>0</v>
      </c>
      <c r="J472" s="188">
        <f ca="1">IFERROR(__xludf.DUMMYFUNCTION("IMPORTRANGE(""https://docs.google.com/spreadsheets/d/11923uPwbBZFjjGgGUA6NLw09EwE0CqkOc4q9oUmW1yo/edit?usp=sharing"",""เชียงราย!J367"")"),126)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IFERROR(__xludf.DUMMYFUNCTION("IMPORTRANGE(""https://docs.google.com/spreadsheets/d/11923uPwbBZFjjGgGUA6NLw09EwE0CqkOc4q9oUmW1yo/edit?usp=sharing"",""เชียงราย!I368"")"),49473)</f>
        <v>49473</v>
      </c>
      <c r="J473" s="420">
        <f ca="1">IFERROR(__xludf.DUMMYFUNCTION("IMPORTRANGE(""https://docs.google.com/spreadsheets/d/11923uPwbBZFjjGgGUA6NLw09EwE0CqkOc4q9oUmW1yo/edit?usp=sharing"",""เชียงราย!J368"")"),49473)</f>
        <v>49473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IFERROR(__xludf.DUMMYFUNCTION("IMPORTRANGE(""https://docs.google.com/spreadsheets/d/11923uPwbBZFjjGgGUA6NLw09EwE0CqkOc4q9oUmW1yo/edit?usp=sharing"",""เชียงราย!I369"")"),9843)</f>
        <v>9843</v>
      </c>
      <c r="J474" s="420">
        <f ca="1">IFERROR(__xludf.DUMMYFUNCTION("IMPORTRANGE(""https://docs.google.com/spreadsheets/d/11923uPwbBZFjjGgGUA6NLw09EwE0CqkOc4q9oUmW1yo/edit?usp=sharing"",""เชียงราย!J369"")"),9843)</f>
        <v>9843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IFERROR(__xludf.DUMMYFUNCTION("IMPORTRANGE(""https://docs.google.com/spreadsheets/d/11923uPwbBZFjjGgGUA6NLw09EwE0CqkOc4q9oUmW1yo/edit?usp=sharing"",""เชียงราย!I370"")"),0)</f>
        <v>0</v>
      </c>
      <c r="J475" s="188">
        <f ca="1">IFERROR(__xludf.DUMMYFUNCTION("IMPORTRANGE(""https://docs.google.com/spreadsheets/d/11923uPwbBZFjjGgGUA6NLw09EwE0CqkOc4q9oUmW1yo/edit?usp=sharing"",""เชียงราย!J370"")"),42904)</f>
        <v>42904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IFERROR(__xludf.DUMMYFUNCTION("IMPORTRANGE(""https://docs.google.com/spreadsheets/d/11923uPwbBZFjjGgGUA6NLw09EwE0CqkOc4q9oUmW1yo/edit?usp=sharing"",""เชียงราย!I371"")"),0)</f>
        <v>0</v>
      </c>
      <c r="J476" s="188">
        <f ca="1">IFERROR(__xludf.DUMMYFUNCTION("IMPORTRANGE(""https://docs.google.com/spreadsheets/d/11923uPwbBZFjjGgGUA6NLw09EwE0CqkOc4q9oUmW1yo/edit?usp=sharing"",""เชียงราย!J371"")"),8733)</f>
        <v>8733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IFERROR(__xludf.DUMMYFUNCTION("IMPORTRANGE(""https://docs.google.com/spreadsheets/d/11923uPwbBZFjjGgGUA6NLw09EwE0CqkOc4q9oUmW1yo/edit?usp=sharing"",""เชียงราย!I372"")"),0)</f>
        <v>0</v>
      </c>
      <c r="J477" s="188">
        <f ca="1">IFERROR(__xludf.DUMMYFUNCTION("IMPORTRANGE(""https://docs.google.com/spreadsheets/d/11923uPwbBZFjjGgGUA6NLw09EwE0CqkOc4q9oUmW1yo/edit?usp=sharing"",""เชียงราย!J372"")"),5672)</f>
        <v>5672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IFERROR(__xludf.DUMMYFUNCTION("IMPORTRANGE(""https://docs.google.com/spreadsheets/d/11923uPwbBZFjjGgGUA6NLw09EwE0CqkOc4q9oUmW1yo/edit?usp=sharing"",""เชียงราย!I373"")"),0)</f>
        <v>0</v>
      </c>
      <c r="J478" s="188">
        <f ca="1">IFERROR(__xludf.DUMMYFUNCTION("IMPORTRANGE(""https://docs.google.com/spreadsheets/d/11923uPwbBZFjjGgGUA6NLw09EwE0CqkOc4q9oUmW1yo/edit?usp=sharing"",""เชียงราย!J373"")"),941)</f>
        <v>941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IFERROR(__xludf.DUMMYFUNCTION("IMPORTRANGE(""https://docs.google.com/spreadsheets/d/11923uPwbBZFjjGgGUA6NLw09EwE0CqkOc4q9oUmW1yo/edit?usp=sharing"",""เชียงราย!I374"")"),0)</f>
        <v>0</v>
      </c>
      <c r="J479" s="188">
        <f ca="1">IFERROR(__xludf.DUMMYFUNCTION("IMPORTRANGE(""https://docs.google.com/spreadsheets/d/11923uPwbBZFjjGgGUA6NLw09EwE0CqkOc4q9oUmW1yo/edit?usp=sharing"",""เชียงราย!J374"")"),897)</f>
        <v>897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IFERROR(__xludf.DUMMYFUNCTION("IMPORTRANGE(""https://docs.google.com/spreadsheets/d/11923uPwbBZFjjGgGUA6NLw09EwE0CqkOc4q9oUmW1yo/edit?usp=sharing"",""เชียงราย!I375"")"),0)</f>
        <v>0</v>
      </c>
      <c r="J480" s="188">
        <f ca="1">IFERROR(__xludf.DUMMYFUNCTION("IMPORTRANGE(""https://docs.google.com/spreadsheets/d/11923uPwbBZFjjGgGUA6NLw09EwE0CqkOc4q9oUmW1yo/edit?usp=sharing"",""เชียงราย!J375"")"),169)</f>
        <v>169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IFERROR(__xludf.DUMMYFUNCTION("IMPORTRANGE(""https://docs.google.com/spreadsheets/d/11923uPwbBZFjjGgGUA6NLw09EwE0CqkOc4q9oUmW1yo/edit?usp=sharing"",""เชียงราย!I376"")"),49473)</f>
        <v>49473</v>
      </c>
      <c r="J481" s="420">
        <f ca="1">IFERROR(__xludf.DUMMYFUNCTION("IMPORTRANGE(""https://docs.google.com/spreadsheets/d/11923uPwbBZFjjGgGUA6NLw09EwE0CqkOc4q9oUmW1yo/edit?usp=sharing"",""เชียงราย!J376"")"),42904)</f>
        <v>42904</v>
      </c>
      <c r="K481" s="201">
        <f t="shared" ca="1" si="117"/>
        <v>86.722050411335474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IFERROR(__xludf.DUMMYFUNCTION("IMPORTRANGE(""https://docs.google.com/spreadsheets/d/11923uPwbBZFjjGgGUA6NLw09EwE0CqkOc4q9oUmW1yo/edit?usp=sharing"",""เชียงราย!I377"")"),9843)</f>
        <v>9843</v>
      </c>
      <c r="J482" s="420">
        <f ca="1">IFERROR(__xludf.DUMMYFUNCTION("IMPORTRANGE(""https://docs.google.com/spreadsheets/d/11923uPwbBZFjjGgGUA6NLw09EwE0CqkOc4q9oUmW1yo/edit?usp=sharing"",""เชียงราย!J377"")"),8733)</f>
        <v>8733</v>
      </c>
      <c r="K482" s="201">
        <f t="shared" ca="1" si="117"/>
        <v>88.722950320024381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IFERROR(__xludf.DUMMYFUNCTION("IMPORTRANGE(""https://docs.google.com/spreadsheets/d/11923uPwbBZFjjGgGUA6NLw09EwE0CqkOc4q9oUmW1yo/edit?usp=sharing"",""เชียงราย!I378"")"),0)</f>
        <v>0</v>
      </c>
      <c r="J483" s="188">
        <f ca="1">IFERROR(__xludf.DUMMYFUNCTION("IMPORTRANGE(""https://docs.google.com/spreadsheets/d/11923uPwbBZFjjGgGUA6NLw09EwE0CqkOc4q9oUmW1yo/edit?usp=sharing"",""เชียงราย!J378"")"),42904)</f>
        <v>42904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IFERROR(__xludf.DUMMYFUNCTION("IMPORTRANGE(""https://docs.google.com/spreadsheets/d/11923uPwbBZFjjGgGUA6NLw09EwE0CqkOc4q9oUmW1yo/edit?usp=sharing"",""เชียงราย!I379"")"),0)</f>
        <v>0</v>
      </c>
      <c r="J484" s="188">
        <f ca="1">IFERROR(__xludf.DUMMYFUNCTION("IMPORTRANGE(""https://docs.google.com/spreadsheets/d/11923uPwbBZFjjGgGUA6NLw09EwE0CqkOc4q9oUmW1yo/edit?usp=sharing"",""เชียงราย!J379"")"),8733)</f>
        <v>8733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IFERROR(__xludf.DUMMYFUNCTION("IMPORTRANGE(""https://docs.google.com/spreadsheets/d/11923uPwbBZFjjGgGUA6NLw09EwE0CqkOc4q9oUmW1yo/edit?usp=sharing"",""เชียงราย!I380"")"),0)</f>
        <v>0</v>
      </c>
      <c r="J485" s="188">
        <f ca="1">IFERROR(__xludf.DUMMYFUNCTION("IMPORTRANGE(""https://docs.google.com/spreadsheets/d/11923uPwbBZFjjGgGUA6NLw09EwE0CqkOc4q9oUmW1yo/edit?usp=sharing"",""เชียงราย!J380"")"),0)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IFERROR(__xludf.DUMMYFUNCTION("IMPORTRANGE(""https://docs.google.com/spreadsheets/d/11923uPwbBZFjjGgGUA6NLw09EwE0CqkOc4q9oUmW1yo/edit?usp=sharing"",""เชียงราย!I381"")"),0)</f>
        <v>0</v>
      </c>
      <c r="J486" s="188">
        <f ca="1">IFERROR(__xludf.DUMMYFUNCTION("IMPORTRANGE(""https://docs.google.com/spreadsheets/d/11923uPwbBZFjjGgGUA6NLw09EwE0CqkOc4q9oUmW1yo/edit?usp=sharing"",""เชียงราย!J381"")"),0)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IFERROR(__xludf.DUMMYFUNCTION("IMPORTRANGE(""https://docs.google.com/spreadsheets/d/11923uPwbBZFjjGgGUA6NLw09EwE0CqkOc4q9oUmW1yo/edit?usp=sharing"",""เชียงราย!I382"")"),0)</f>
        <v>0</v>
      </c>
      <c r="J487" s="420">
        <f ca="1">IFERROR(__xludf.DUMMYFUNCTION("IMPORTRANGE(""https://docs.google.com/spreadsheets/d/11923uPwbBZFjjGgGUA6NLw09EwE0CqkOc4q9oUmW1yo/edit?usp=sharing"",""เชียงราย!J382"")"),0)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IFERROR(__xludf.DUMMYFUNCTION("IMPORTRANGE(""https://docs.google.com/spreadsheets/d/11923uPwbBZFjjGgGUA6NLw09EwE0CqkOc4q9oUmW1yo/edit?usp=sharing"",""เชียงราย!I383"")"),0)</f>
        <v>0</v>
      </c>
      <c r="J488" s="420">
        <f ca="1">IFERROR(__xludf.DUMMYFUNCTION("IMPORTRANGE(""https://docs.google.com/spreadsheets/d/11923uPwbBZFjjGgGUA6NLw09EwE0CqkOc4q9oUmW1yo/edit?usp=sharing"",""เชียงราย!J383"")"),0)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IFERROR(__xludf.DUMMYFUNCTION("IMPORTRANGE(""https://docs.google.com/spreadsheets/d/11923uPwbBZFjjGgGUA6NLw09EwE0CqkOc4q9oUmW1yo/edit?usp=sharing"",""เชียงราย!I384"")"),0)</f>
        <v>0</v>
      </c>
      <c r="J489" s="188">
        <f ca="1">IFERROR(__xludf.DUMMYFUNCTION("IMPORTRANGE(""https://docs.google.com/spreadsheets/d/11923uPwbBZFjjGgGUA6NLw09EwE0CqkOc4q9oUmW1yo/edit?usp=sharing"",""เชียงราย!J384"")"),0)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IFERROR(__xludf.DUMMYFUNCTION("IMPORTRANGE(""https://docs.google.com/spreadsheets/d/11923uPwbBZFjjGgGUA6NLw09EwE0CqkOc4q9oUmW1yo/edit?usp=sharing"",""เชียงราย!I385"")"),0)</f>
        <v>0</v>
      </c>
      <c r="J490" s="188">
        <f ca="1">IFERROR(__xludf.DUMMYFUNCTION("IMPORTRANGE(""https://docs.google.com/spreadsheets/d/11923uPwbBZFjjGgGUA6NLw09EwE0CqkOc4q9oUmW1yo/edit?usp=sharing"",""เชียงราย!J385"")"),0)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IFERROR(__xludf.DUMMYFUNCTION("IMPORTRANGE(""https://docs.google.com/spreadsheets/d/11923uPwbBZFjjGgGUA6NLw09EwE0CqkOc4q9oUmW1yo/edit?usp=sharing"",""เชียงราย!I386"")"),0)</f>
        <v>0</v>
      </c>
      <c r="J491" s="188">
        <f ca="1">IFERROR(__xludf.DUMMYFUNCTION("IMPORTRANGE(""https://docs.google.com/spreadsheets/d/11923uPwbBZFjjGgGUA6NLw09EwE0CqkOc4q9oUmW1yo/edit?usp=sharing"",""เชียงราย!J386"")"),0)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IFERROR(__xludf.DUMMYFUNCTION("IMPORTRANGE(""https://docs.google.com/spreadsheets/d/11923uPwbBZFjjGgGUA6NLw09EwE0CqkOc4q9oUmW1yo/edit?usp=sharing"",""เชียงราย!I387"")"),0)</f>
        <v>0</v>
      </c>
      <c r="J492" s="188">
        <f ca="1">IFERROR(__xludf.DUMMYFUNCTION("IMPORTRANGE(""https://docs.google.com/spreadsheets/d/11923uPwbBZFjjGgGUA6NLw09EwE0CqkOc4q9oUmW1yo/edit?usp=sharing"",""เชียงราย!J387"")"),0)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IFERROR(__xludf.DUMMYFUNCTION("IMPORTRANGE(""https://docs.google.com/spreadsheets/d/11923uPwbBZFjjGgGUA6NLw09EwE0CqkOc4q9oUmW1yo/edit?usp=sharing"",""เชียงราย!I388"")"),0)</f>
        <v>0</v>
      </c>
      <c r="J493" s="188">
        <f ca="1">IFERROR(__xludf.DUMMYFUNCTION("IMPORTRANGE(""https://docs.google.com/spreadsheets/d/11923uPwbBZFjjGgGUA6NLw09EwE0CqkOc4q9oUmW1yo/edit?usp=sharing"",""เชียงราย!J388"")"),0)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IFERROR(__xludf.DUMMYFUNCTION("IMPORTRANGE(""https://docs.google.com/spreadsheets/d/11923uPwbBZFjjGgGUA6NLw09EwE0CqkOc4q9oUmW1yo/edit?usp=sharing"",""เชียงราย!I389"")"),0)</f>
        <v>0</v>
      </c>
      <c r="J494" s="436">
        <f ca="1">IFERROR(__xludf.DUMMYFUNCTION("IMPORTRANGE(""https://docs.google.com/spreadsheets/d/11923uPwbBZFjjGgGUA6NLw09EwE0CqkOc4q9oUmW1yo/edit?usp=sharing"",""เชียงราย!J389"")"),0)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IFERROR(__xludf.DUMMYFUNCTION("IMPORTRANGE(""https://docs.google.com/spreadsheets/d/11923uPwbBZFjjGgGUA6NLw09EwE0CqkOc4q9oUmW1yo/edit?usp=sharing"",""เชียงราย!I390"")"),0)</f>
        <v>0</v>
      </c>
      <c r="J495" s="436">
        <f ca="1">IFERROR(__xludf.DUMMYFUNCTION("IMPORTRANGE(""https://docs.google.com/spreadsheets/d/11923uPwbBZFjjGgGUA6NLw09EwE0CqkOc4q9oUmW1yo/edit?usp=sharing"",""เชียงราย!J390"")"),0)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IFERROR(__xludf.DUMMYFUNCTION("IMPORTRANGE(""https://docs.google.com/spreadsheets/d/11923uPwbBZFjjGgGUA6NLw09EwE0CqkOc4q9oUmW1yo/edit?usp=sharing"",""เชียงราย!I391"")"),0)</f>
        <v>0</v>
      </c>
      <c r="J496" s="436">
        <f ca="1">IFERROR(__xludf.DUMMYFUNCTION("IMPORTRANGE(""https://docs.google.com/spreadsheets/d/11923uPwbBZFjjGgGUA6NLw09EwE0CqkOc4q9oUmW1yo/edit?usp=sharing"",""เชียงราย!J391"")"),0)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IFERROR(__xludf.DUMMYFUNCTION("IMPORTRANGE(""https://docs.google.com/spreadsheets/d/11923uPwbBZFjjGgGUA6NLw09EwE0CqkOc4q9oUmW1yo/edit?usp=sharing"",""เชียงราย!I392"")"),707)</f>
        <v>707</v>
      </c>
      <c r="J497" s="443">
        <f ca="1">IFERROR(__xludf.DUMMYFUNCTION("IMPORTRANGE(""https://docs.google.com/spreadsheets/d/11923uPwbBZFjjGgGUA6NLw09EwE0CqkOc4q9oUmW1yo/edit?usp=sharing"",""เชียงราย!J392"")"),694)</f>
        <v>694</v>
      </c>
      <c r="K497" s="444">
        <f t="shared" ca="1" si="117"/>
        <v>98.161244695898162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IFERROR(__xludf.DUMMYFUNCTION("IMPORTRANGE(""https://docs.google.com/spreadsheets/d/11923uPwbBZFjjGgGUA6NLw09EwE0CqkOc4q9oUmW1yo/edit?usp=sharing"",""เชียงราย!I393"")"),707)</f>
        <v>707</v>
      </c>
      <c r="J498" s="420">
        <f ca="1">IFERROR(__xludf.DUMMYFUNCTION("IMPORTRANGE(""https://docs.google.com/spreadsheets/d/11923uPwbBZFjjGgGUA6NLw09EwE0CqkOc4q9oUmW1yo/edit?usp=sharing"",""เชียงราย!J393"")"),694)</f>
        <v>694</v>
      </c>
      <c r="K498" s="201">
        <f t="shared" ca="1" si="117"/>
        <v>98.161244695898162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IFERROR(__xludf.DUMMYFUNCTION("IMPORTRANGE(""https://docs.google.com/spreadsheets/d/11923uPwbBZFjjGgGUA6NLw09EwE0CqkOc4q9oUmW1yo/edit?usp=sharing"",""เชียงราย!I394"")"),94)</f>
        <v>94</v>
      </c>
      <c r="J499" s="420">
        <f ca="1">IFERROR(__xludf.DUMMYFUNCTION("IMPORTRANGE(""https://docs.google.com/spreadsheets/d/11923uPwbBZFjjGgGUA6NLw09EwE0CqkOc4q9oUmW1yo/edit?usp=sharing"",""เชียงราย!J394"")"),92)</f>
        <v>92</v>
      </c>
      <c r="K499" s="201">
        <f t="shared" ca="1" si="117"/>
        <v>97.872340425531917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IFERROR(__xludf.DUMMYFUNCTION("IMPORTRANGE(""https://docs.google.com/spreadsheets/d/11923uPwbBZFjjGgGUA6NLw09EwE0CqkOc4q9oUmW1yo/edit?usp=sharing"",""เชียงราย!I395"")"),0)</f>
        <v>0</v>
      </c>
      <c r="J500" s="162">
        <f ca="1">IFERROR(__xludf.DUMMYFUNCTION("IMPORTRANGE(""https://docs.google.com/spreadsheets/d/11923uPwbBZFjjGgGUA6NLw09EwE0CqkOc4q9oUmW1yo/edit?usp=sharing"",""เชียงราย!J395"")"),552)</f>
        <v>552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IFERROR(__xludf.DUMMYFUNCTION("IMPORTRANGE(""https://docs.google.com/spreadsheets/d/11923uPwbBZFjjGgGUA6NLw09EwE0CqkOc4q9oUmW1yo/edit?usp=sharing"",""เชียงราย!I396"")"),0)</f>
        <v>0</v>
      </c>
      <c r="J501" s="162">
        <f ca="1">IFERROR(__xludf.DUMMYFUNCTION("IMPORTRANGE(""https://docs.google.com/spreadsheets/d/11923uPwbBZFjjGgGUA6NLw09EwE0CqkOc4q9oUmW1yo/edit?usp=sharing"",""เชียงราย!J396"")"),73)</f>
        <v>73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IFERROR(__xludf.DUMMYFUNCTION("IMPORTRANGE(""https://docs.google.com/spreadsheets/d/11923uPwbBZFjjGgGUA6NLw09EwE0CqkOc4q9oUmW1yo/edit?usp=sharing"",""เชียงราย!I397"")"),0)</f>
        <v>0</v>
      </c>
      <c r="J502" s="188">
        <f ca="1">IFERROR(__xludf.DUMMYFUNCTION("IMPORTRANGE(""https://docs.google.com/spreadsheets/d/11923uPwbBZFjjGgGUA6NLw09EwE0CqkOc4q9oUmW1yo/edit?usp=sharing"",""เชียงราย!J397"")"),552)</f>
        <v>552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IFERROR(__xludf.DUMMYFUNCTION("IMPORTRANGE(""https://docs.google.com/spreadsheets/d/11923uPwbBZFjjGgGUA6NLw09EwE0CqkOc4q9oUmW1yo/edit?usp=sharing"",""เชียงราย!I398"")"),0)</f>
        <v>0</v>
      </c>
      <c r="J503" s="197">
        <f ca="1">IFERROR(__xludf.DUMMYFUNCTION("IMPORTRANGE(""https://docs.google.com/spreadsheets/d/11923uPwbBZFjjGgGUA6NLw09EwE0CqkOc4q9oUmW1yo/edit?usp=sharing"",""เชียงราย!J398"")"),73)</f>
        <v>73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IFERROR(__xludf.DUMMYFUNCTION("IMPORTRANGE(""https://docs.google.com/spreadsheets/d/11923uPwbBZFjjGgGUA6NLw09EwE0CqkOc4q9oUmW1yo/edit?usp=sharing"",""เชียงราย!I399"")"),0)</f>
        <v>0</v>
      </c>
      <c r="J504" s="188">
        <f ca="1">IFERROR(__xludf.DUMMYFUNCTION("IMPORTRANGE(""https://docs.google.com/spreadsheets/d/11923uPwbBZFjjGgGUA6NLw09EwE0CqkOc4q9oUmW1yo/edit?usp=sharing"",""เชียงราย!J399"")"),0)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IFERROR(__xludf.DUMMYFUNCTION("IMPORTRANGE(""https://docs.google.com/spreadsheets/d/11923uPwbBZFjjGgGUA6NLw09EwE0CqkOc4q9oUmW1yo/edit?usp=sharing"",""เชียงราย!I400"")"),0)</f>
        <v>0</v>
      </c>
      <c r="J505" s="197">
        <f ca="1">IFERROR(__xludf.DUMMYFUNCTION("IMPORTRANGE(""https://docs.google.com/spreadsheets/d/11923uPwbBZFjjGgGUA6NLw09EwE0CqkOc4q9oUmW1yo/edit?usp=sharing"",""เชียงราย!J400"")"),0)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IFERROR(__xludf.DUMMYFUNCTION("IMPORTRANGE(""https://docs.google.com/spreadsheets/d/11923uPwbBZFjjGgGUA6NLw09EwE0CqkOc4q9oUmW1yo/edit?usp=sharing"",""เชียงราย!I401"")"),0)</f>
        <v>0</v>
      </c>
      <c r="J506" s="188">
        <f ca="1">IFERROR(__xludf.DUMMYFUNCTION("IMPORTRANGE(""https://docs.google.com/spreadsheets/d/11923uPwbBZFjjGgGUA6NLw09EwE0CqkOc4q9oUmW1yo/edit?usp=sharing"",""เชียงราย!J401"")"),0)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IFERROR(__xludf.DUMMYFUNCTION("IMPORTRANGE(""https://docs.google.com/spreadsheets/d/11923uPwbBZFjjGgGUA6NLw09EwE0CqkOc4q9oUmW1yo/edit?usp=sharing"",""เชียงราย!I402"")"),0)</f>
        <v>0</v>
      </c>
      <c r="J507" s="197">
        <f ca="1">IFERROR(__xludf.DUMMYFUNCTION("IMPORTRANGE(""https://docs.google.com/spreadsheets/d/11923uPwbBZFjjGgGUA6NLw09EwE0CqkOc4q9oUmW1yo/edit?usp=sharing"",""เชียงราย!J402"")"),0)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IFERROR(__xludf.DUMMYFUNCTION("IMPORTRANGE(""https://docs.google.com/spreadsheets/d/11923uPwbBZFjjGgGUA6NLw09EwE0CqkOc4q9oUmW1yo/edit?usp=sharing"",""เชียงราย!I403"")"),0)</f>
        <v>0</v>
      </c>
      <c r="J508" s="162">
        <f ca="1">IFERROR(__xludf.DUMMYFUNCTION("IMPORTRANGE(""https://docs.google.com/spreadsheets/d/11923uPwbBZFjjGgGUA6NLw09EwE0CqkOc4q9oUmW1yo/edit?usp=sharing"",""เชียงราย!J403"")"),141)</f>
        <v>141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IFERROR(__xludf.DUMMYFUNCTION("IMPORTRANGE(""https://docs.google.com/spreadsheets/d/11923uPwbBZFjjGgGUA6NLw09EwE0CqkOc4q9oUmW1yo/edit?usp=sharing"",""เชียงราย!I404"")"),0)</f>
        <v>0</v>
      </c>
      <c r="J509" s="162">
        <f ca="1">IFERROR(__xludf.DUMMYFUNCTION("IMPORTRANGE(""https://docs.google.com/spreadsheets/d/11923uPwbBZFjjGgGUA6NLw09EwE0CqkOc4q9oUmW1yo/edit?usp=sharing"",""เชียงราย!J404"")"),18)</f>
        <v>18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IFERROR(__xludf.DUMMYFUNCTION("IMPORTRANGE(""https://docs.google.com/spreadsheets/d/11923uPwbBZFjjGgGUA6NLw09EwE0CqkOc4q9oUmW1yo/edit?usp=sharing"",""เชียงราย!I405"")"),0)</f>
        <v>0</v>
      </c>
      <c r="J510" s="197">
        <f ca="1">IFERROR(__xludf.DUMMYFUNCTION("IMPORTRANGE(""https://docs.google.com/spreadsheets/d/11923uPwbBZFjjGgGUA6NLw09EwE0CqkOc4q9oUmW1yo/edit?usp=sharing"",""เชียงราย!J405"")"),141)</f>
        <v>141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IFERROR(__xludf.DUMMYFUNCTION("IMPORTRANGE(""https://docs.google.com/spreadsheets/d/11923uPwbBZFjjGgGUA6NLw09EwE0CqkOc4q9oUmW1yo/edit?usp=sharing"",""เชียงราย!I406"")"),0)</f>
        <v>0</v>
      </c>
      <c r="J511" s="197">
        <f ca="1">IFERROR(__xludf.DUMMYFUNCTION("IMPORTRANGE(""https://docs.google.com/spreadsheets/d/11923uPwbBZFjjGgGUA6NLw09EwE0CqkOc4q9oUmW1yo/edit?usp=sharing"",""เชียงราย!J406"")"),18)</f>
        <v>18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IFERROR(__xludf.DUMMYFUNCTION("IMPORTRANGE(""https://docs.google.com/spreadsheets/d/11923uPwbBZFjjGgGUA6NLw09EwE0CqkOc4q9oUmW1yo/edit?usp=sharing"",""เชียงราย!I407"")"),0)</f>
        <v>0</v>
      </c>
      <c r="J512" s="197">
        <f ca="1">IFERROR(__xludf.DUMMYFUNCTION("IMPORTRANGE(""https://docs.google.com/spreadsheets/d/11923uPwbBZFjjGgGUA6NLw09EwE0CqkOc4q9oUmW1yo/edit?usp=sharing"",""เชียงราย!J407"")"),0)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IFERROR(__xludf.DUMMYFUNCTION("IMPORTRANGE(""https://docs.google.com/spreadsheets/d/11923uPwbBZFjjGgGUA6NLw09EwE0CqkOc4q9oUmW1yo/edit?usp=sharing"",""เชียงราย!I408"")"),0)</f>
        <v>0</v>
      </c>
      <c r="J513" s="197">
        <f ca="1">IFERROR(__xludf.DUMMYFUNCTION("IMPORTRANGE(""https://docs.google.com/spreadsheets/d/11923uPwbBZFjjGgGUA6NLw09EwE0CqkOc4q9oUmW1yo/edit?usp=sharing"",""เชียงราย!J408"")"),0)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IFERROR(__xludf.DUMMYFUNCTION("IMPORTRANGE(""https://docs.google.com/spreadsheets/d/11923uPwbBZFjjGgGUA6NLw09EwE0CqkOc4q9oUmW1yo/edit?usp=sharing"",""เชียงราย!I409"")"),0)</f>
        <v>0</v>
      </c>
      <c r="J514" s="197">
        <f ca="1">IFERROR(__xludf.DUMMYFUNCTION("IMPORTRANGE(""https://docs.google.com/spreadsheets/d/11923uPwbBZFjjGgGUA6NLw09EwE0CqkOc4q9oUmW1yo/edit?usp=sharing"",""เชียงราย!J409"")"),1)</f>
        <v>1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IFERROR(__xludf.DUMMYFUNCTION("IMPORTRANGE(""https://docs.google.com/spreadsheets/d/11923uPwbBZFjjGgGUA6NLw09EwE0CqkOc4q9oUmW1yo/edit?usp=sharing"",""เชียงราย!I410"")"),0)</f>
        <v>0</v>
      </c>
      <c r="J515" s="197">
        <f ca="1">IFERROR(__xludf.DUMMYFUNCTION("IMPORTRANGE(""https://docs.google.com/spreadsheets/d/11923uPwbBZFjjGgGUA6NLw09EwE0CqkOc4q9oUmW1yo/edit?usp=sharing"",""เชียงราย!J410"")"),1)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IFERROR(__xludf.DUMMYFUNCTION("IMPORTRANGE(""https://docs.google.com/spreadsheets/d/11923uPwbBZFjjGgGUA6NLw09EwE0CqkOc4q9oUmW1yo/edit?usp=sharing"",""เชียงราย!I411"")"),0)</f>
        <v>0</v>
      </c>
      <c r="J516" s="267">
        <f ca="1">IFERROR(__xludf.DUMMYFUNCTION("IMPORTRANGE(""https://docs.google.com/spreadsheets/d/11923uPwbBZFjjGgGUA6NLw09EwE0CqkOc4q9oUmW1yo/edit?usp=sharing"",""เชียงราย!J411"")"),0)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IFERROR(__xludf.DUMMYFUNCTION("IMPORTRANGE(""https://docs.google.com/spreadsheets/d/11923uPwbBZFjjGgGUA6NLw09EwE0CqkOc4q9oUmW1yo/edit?usp=sharing"",""เชียงราย!I412"")"),0)</f>
        <v>0</v>
      </c>
      <c r="J517" s="284">
        <f ca="1">IFERROR(__xludf.DUMMYFUNCTION("IMPORTRANGE(""https://docs.google.com/spreadsheets/d/11923uPwbBZFjjGgGUA6NLw09EwE0CqkOc4q9oUmW1yo/edit?usp=sharing"",""เชียงราย!J412"")"),0)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IFERROR(__xludf.DUMMYFUNCTION("IMPORTRANGE(""https://docs.google.com/spreadsheets/d/11923uPwbBZFjjGgGUA6NLw09EwE0CqkOc4q9oUmW1yo/edit?usp=sharing"",""เชียงราย!I413"")"),0)</f>
        <v>0</v>
      </c>
      <c r="J518" s="284">
        <f ca="1">IFERROR(__xludf.DUMMYFUNCTION("IMPORTRANGE(""https://docs.google.com/spreadsheets/d/11923uPwbBZFjjGgGUA6NLw09EwE0CqkOc4q9oUmW1yo/edit?usp=sharing"",""เชียงราย!J413"")"),0)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IFERROR(__xludf.DUMMYFUNCTION("IMPORTRANGE(""https://docs.google.com/spreadsheets/d/11923uPwbBZFjjGgGUA6NLw09EwE0CqkOc4q9oUmW1yo/edit?usp=sharing"",""เชียงราย!I414"")"),0)</f>
        <v>0</v>
      </c>
      <c r="J519" s="187">
        <f ca="1">IFERROR(__xludf.DUMMYFUNCTION("IMPORTRANGE(""https://docs.google.com/spreadsheets/d/11923uPwbBZFjjGgGUA6NLw09EwE0CqkOc4q9oUmW1yo/edit?usp=sharing"",""เชียงราย!J414"")"),0)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IFERROR(__xludf.DUMMYFUNCTION("IMPORTRANGE(""https://docs.google.com/spreadsheets/d/11923uPwbBZFjjGgGUA6NLw09EwE0CqkOc4q9oUmW1yo/edit?usp=sharing"",""เชียงราย!I415"")"),0)</f>
        <v>0</v>
      </c>
      <c r="J520" s="187">
        <f ca="1">IFERROR(__xludf.DUMMYFUNCTION("IMPORTRANGE(""https://docs.google.com/spreadsheets/d/11923uPwbBZFjjGgGUA6NLw09EwE0CqkOc4q9oUmW1yo/edit?usp=sharing"",""เชียงราย!J415"")"),0)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IFERROR(__xludf.DUMMYFUNCTION("IMPORTRANGE(""https://docs.google.com/spreadsheets/d/11923uPwbBZFjjGgGUA6NLw09EwE0CqkOc4q9oUmW1yo/edit?usp=sharing"",""เชียงราย!I416"")"),0)</f>
        <v>0</v>
      </c>
      <c r="J521" s="187">
        <f ca="1">IFERROR(__xludf.DUMMYFUNCTION("IMPORTRANGE(""https://docs.google.com/spreadsheets/d/11923uPwbBZFjjGgGUA6NLw09EwE0CqkOc4q9oUmW1yo/edit?usp=sharing"",""เชียงราย!J416"")"),0)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IFERROR(__xludf.DUMMYFUNCTION("IMPORTRANGE(""https://docs.google.com/spreadsheets/d/11923uPwbBZFjjGgGUA6NLw09EwE0CqkOc4q9oUmW1yo/edit?usp=sharing"",""เชียงราย!I417"")"),0)</f>
        <v>0</v>
      </c>
      <c r="J522" s="187">
        <f ca="1">IFERROR(__xludf.DUMMYFUNCTION("IMPORTRANGE(""https://docs.google.com/spreadsheets/d/11923uPwbBZFjjGgGUA6NLw09EwE0CqkOc4q9oUmW1yo/edit?usp=sharing"",""เชียงราย!J417"")"),0)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IFERROR(__xludf.DUMMYFUNCTION("IMPORTRANGE(""https://docs.google.com/spreadsheets/d/11923uPwbBZFjjGgGUA6NLw09EwE0CqkOc4q9oUmW1yo/edit?usp=sharing"",""เชียงราย!I418"")"),0)</f>
        <v>0</v>
      </c>
      <c r="J523" s="187">
        <f ca="1">IFERROR(__xludf.DUMMYFUNCTION("IMPORTRANGE(""https://docs.google.com/spreadsheets/d/11923uPwbBZFjjGgGUA6NLw09EwE0CqkOc4q9oUmW1yo/edit?usp=sharing"",""เชียงราย!J418"")"),110)</f>
        <v>110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IFERROR(__xludf.DUMMYFUNCTION("IMPORTRANGE(""https://docs.google.com/spreadsheets/d/11923uPwbBZFjjGgGUA6NLw09EwE0CqkOc4q9oUmW1yo/edit?usp=sharing"",""เชียงราย!I419"")"),0)</f>
        <v>0</v>
      </c>
      <c r="J524" s="187">
        <f ca="1">IFERROR(__xludf.DUMMYFUNCTION("IMPORTRANGE(""https://docs.google.com/spreadsheets/d/11923uPwbBZFjjGgGUA6NLw09EwE0CqkOc4q9oUmW1yo/edit?usp=sharing"",""เชียงราย!J419"")"),15)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IFERROR(__xludf.DUMMYFUNCTION("IMPORTRANGE(""https://docs.google.com/spreadsheets/d/11923uPwbBZFjjGgGUA6NLw09EwE0CqkOc4q9oUmW1yo/edit?usp=sharing"",""เชียงราย!I420"")"),110)</f>
        <v>110</v>
      </c>
      <c r="J525" s="284">
        <f ca="1">IFERROR(__xludf.DUMMYFUNCTION("IMPORTRANGE(""https://docs.google.com/spreadsheets/d/11923uPwbBZFjjGgGUA6NLw09EwE0CqkOc4q9oUmW1yo/edit?usp=sharing"",""เชียงราย!J420"")"),110)</f>
        <v>110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IFERROR(__xludf.DUMMYFUNCTION("IMPORTRANGE(""https://docs.google.com/spreadsheets/d/11923uPwbBZFjjGgGUA6NLw09EwE0CqkOc4q9oUmW1yo/edit?usp=sharing"",""เชียงราย!I421"")"),15)</f>
        <v>15</v>
      </c>
      <c r="J526" s="284">
        <f ca="1">IFERROR(__xludf.DUMMYFUNCTION("IMPORTRANGE(""https://docs.google.com/spreadsheets/d/11923uPwbBZFjjGgGUA6NLw09EwE0CqkOc4q9oUmW1yo/edit?usp=sharing"",""เชียงราย!J421"")"),15)</f>
        <v>15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IFERROR(__xludf.DUMMYFUNCTION("IMPORTRANGE(""https://docs.google.com/spreadsheets/d/11923uPwbBZFjjGgGUA6NLw09EwE0CqkOc4q9oUmW1yo/edit?usp=sharing"",""เชียงราย!I422"")"),0)</f>
        <v>0</v>
      </c>
      <c r="J527" s="197">
        <f ca="1">IFERROR(__xludf.DUMMYFUNCTION("IMPORTRANGE(""https://docs.google.com/spreadsheets/d/11923uPwbBZFjjGgGUA6NLw09EwE0CqkOc4q9oUmW1yo/edit?usp=sharing"",""เชียงราย!J422"")"),110)</f>
        <v>110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IFERROR(__xludf.DUMMYFUNCTION("IMPORTRANGE(""https://docs.google.com/spreadsheets/d/11923uPwbBZFjjGgGUA6NLw09EwE0CqkOc4q9oUmW1yo/edit?usp=sharing"",""เชียงราย!I423"")"),0)</f>
        <v>0</v>
      </c>
      <c r="J528" s="197">
        <f ca="1">IFERROR(__xludf.DUMMYFUNCTION("IMPORTRANGE(""https://docs.google.com/spreadsheets/d/11923uPwbBZFjjGgGUA6NLw09EwE0CqkOc4q9oUmW1yo/edit?usp=sharing"",""เชียงราย!J423"")"),15)</f>
        <v>15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IFERROR(__xludf.DUMMYFUNCTION("IMPORTRANGE(""https://docs.google.com/spreadsheets/d/11923uPwbBZFjjGgGUA6NLw09EwE0CqkOc4q9oUmW1yo/edit?usp=sharing"",""เชียงราย!I424"")"),0)</f>
        <v>0</v>
      </c>
      <c r="J529" s="197">
        <f ca="1">IFERROR(__xludf.DUMMYFUNCTION("IMPORTRANGE(""https://docs.google.com/spreadsheets/d/11923uPwbBZFjjGgGUA6NLw09EwE0CqkOc4q9oUmW1yo/edit?usp=sharing"",""เชียงราย!J424"")"),0)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IFERROR(__xludf.DUMMYFUNCTION("IMPORTRANGE(""https://docs.google.com/spreadsheets/d/11923uPwbBZFjjGgGUA6NLw09EwE0CqkOc4q9oUmW1yo/edit?usp=sharing"",""เชียงราย!I425"")"),0)</f>
        <v>0</v>
      </c>
      <c r="J530" s="197">
        <f ca="1">IFERROR(__xludf.DUMMYFUNCTION("IMPORTRANGE(""https://docs.google.com/spreadsheets/d/11923uPwbBZFjjGgGUA6NLw09EwE0CqkOc4q9oUmW1yo/edit?usp=sharing"",""เชียงราย!J425"")"),0)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IFERROR(__xludf.DUMMYFUNCTION("IMPORTRANGE(""https://docs.google.com/spreadsheets/d/11923uPwbBZFjjGgGUA6NLw09EwE0CqkOc4q9oUmW1yo/edit?usp=sharing"",""เชียงราย!I426"")"),0)</f>
        <v>0</v>
      </c>
      <c r="J531" s="197">
        <f ca="1">IFERROR(__xludf.DUMMYFUNCTION("IMPORTRANGE(""https://docs.google.com/spreadsheets/d/11923uPwbBZFjjGgGUA6NLw09EwE0CqkOc4q9oUmW1yo/edit?usp=sharing"",""เชียงราย!J426"")"),0)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IFERROR(__xludf.DUMMYFUNCTION("IMPORTRANGE(""https://docs.google.com/spreadsheets/d/11923uPwbBZFjjGgGUA6NLw09EwE0CqkOc4q9oUmW1yo/edit?usp=sharing"",""เชียงราย!I427"")"),0)</f>
        <v>0</v>
      </c>
      <c r="J532" s="466">
        <f ca="1">IFERROR(__xludf.DUMMYFUNCTION("IMPORTRANGE(""https://docs.google.com/spreadsheets/d/11923uPwbBZFjjGgGUA6NLw09EwE0CqkOc4q9oUmW1yo/edit?usp=sharing"",""เชียงราย!J427"")"),0)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IFERROR(__xludf.DUMMYFUNCTION("IMPORTRANGE(""https://docs.google.com/spreadsheets/d/11923uPwbBZFjjGgGUA6NLw09EwE0CqkOc4q9oUmW1yo/edit?usp=sharing"",""เชียงราย!I428"")"),30)</f>
        <v>30</v>
      </c>
      <c r="J533" s="409">
        <f ca="1">IFERROR(__xludf.DUMMYFUNCTION("IMPORTRANGE(""https://docs.google.com/spreadsheets/d/11923uPwbBZFjjGgGUA6NLw09EwE0CqkOc4q9oUmW1yo/edit?usp=sharing"",""เชียงราย!J428"")"),30)</f>
        <v>30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IFERROR(__xludf.DUMMYFUNCTION("IMPORTRANGE(""https://docs.google.com/spreadsheets/d/11923uPwbBZFjjGgGUA6NLw09EwE0CqkOc4q9oUmW1yo/edit?usp=sharing"",""เชียงราย!L428"")"),41150)</f>
        <v>41150</v>
      </c>
      <c r="M533" s="411"/>
      <c r="N533" s="411">
        <f ca="1">IFERROR(__xludf.DUMMYFUNCTION("IMPORTRANGE(""https://docs.google.com/spreadsheets/d/11923uPwbBZFjjGgGUA6NLw09EwE0CqkOc4q9oUmW1yo/edit?usp=sharing"",""เชียงราย!M428"")"),30893)</f>
        <v>30893</v>
      </c>
      <c r="O533" s="411">
        <f t="shared" ref="O533:O537" ca="1" si="118">+IF(L533&gt;0,N533*100/L533,0)</f>
        <v>75.074119076549209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IFERROR(__xludf.DUMMYFUNCTION("IMPORTRANGE(""https://docs.google.com/spreadsheets/d/11923uPwbBZFjjGgGUA6NLw09EwE0CqkOc4q9oUmW1yo/edit?usp=sharing"",""เชียงราย!L429"")"),0)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IFERROR(__xludf.DUMMYFUNCTION("IMPORTRANGE(""https://docs.google.com/spreadsheets/d/11923uPwbBZFjjGgGUA6NLw09EwE0CqkOc4q9oUmW1yo/edit?usp=sharing"",""เชียงราย!M429"")"),0)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IFERROR(__xludf.DUMMYFUNCTION("IMPORTRANGE(""https://docs.google.com/spreadsheets/d/11923uPwbBZFjjGgGUA6NLw09EwE0CqkOc4q9oUmW1yo/edit?usp=sharing"",""เชียงราย!L430"")"),41150)</f>
        <v>41150</v>
      </c>
      <c r="M535" s="165"/>
      <c r="N535" s="168">
        <f ca="1">IFERROR(__xludf.DUMMYFUNCTION("IMPORTRANGE(""https://docs.google.com/spreadsheets/d/11923uPwbBZFjjGgGUA6NLw09EwE0CqkOc4q9oUmW1yo/edit?usp=sharing"",""เชียงราย!M430"")"),30893)</f>
        <v>30893</v>
      </c>
      <c r="O535" s="168">
        <f t="shared" ca="1" si="118"/>
        <v>75.074119076549209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IFERROR(__xludf.DUMMYFUNCTION("IMPORTRANGE(""https://docs.google.com/spreadsheets/d/11923uPwbBZFjjGgGUA6NLw09EwE0CqkOc4q9oUmW1yo/edit?usp=sharing"",""เชียงราย!L431"")"),0)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IFERROR(__xludf.DUMMYFUNCTION("IMPORTRANGE(""https://docs.google.com/spreadsheets/d/11923uPwbBZFjjGgGUA6NLw09EwE0CqkOc4q9oUmW1yo/edit?usp=sharing"",""เชียงราย!M431"")"),0)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IFERROR(__xludf.DUMMYFUNCTION("IMPORTRANGE(""https://docs.google.com/spreadsheets/d/11923uPwbBZFjjGgGUA6NLw09EwE0CqkOc4q9oUmW1yo/edit?usp=sharing"",""เชียงราย!L432"")"),41150)</f>
        <v>41150</v>
      </c>
      <c r="M537" s="168"/>
      <c r="N537" s="168">
        <f ca="1">IFERROR(__xludf.DUMMYFUNCTION("IMPORTRANGE(""https://docs.google.com/spreadsheets/d/11923uPwbBZFjjGgGUA6NLw09EwE0CqkOc4q9oUmW1yo/edit?usp=sharing"",""เชียงราย!M432"")"),30893)</f>
        <v>30893</v>
      </c>
      <c r="O537" s="168">
        <f t="shared" ca="1" si="118"/>
        <v>75.074119076549209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IFERROR(__xludf.DUMMYFUNCTION("IMPORTRANGE(""https://docs.google.com/spreadsheets/d/11923uPwbBZFjjGgGUA6NLw09EwE0CqkOc4q9oUmW1yo/edit?usp=sharing"",""เชียงราย!M433"")"),30893)</f>
        <v>30893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IFERROR(__xludf.DUMMYFUNCTION("IMPORTRANGE(""https://docs.google.com/spreadsheets/d/11923uPwbBZFjjGgGUA6NLw09EwE0CqkOc4q9oUmW1yo/edit?usp=sharing"",""เชียงราย!M434"")"),0)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IFERROR(__xludf.DUMMYFUNCTION("IMPORTRANGE(""https://docs.google.com/spreadsheets/d/11923uPwbBZFjjGgGUA6NLw09EwE0CqkOc4q9oUmW1yo/edit?usp=sharing"",""เชียงราย!M435"")"),0)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IFERROR(__xludf.DUMMYFUNCTION("IMPORTRANGE(""https://docs.google.com/spreadsheets/d/11923uPwbBZFjjGgGUA6NLw09EwE0CqkOc4q9oUmW1yo/edit?usp=sharing"",""เชียงราย!M436"")"),0)</f>
        <v>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IFERROR(__xludf.DUMMYFUNCTION("IMPORTRANGE(""https://docs.google.com/spreadsheets/d/11923uPwbBZFjjGgGUA6NLw09EwE0CqkOc4q9oUmW1yo/edit?usp=sharing"",""เชียงราย!J438"")"),0)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IFERROR(__xludf.DUMMYFUNCTION("IMPORTRANGE(""https://docs.google.com/spreadsheets/d/11923uPwbBZFjjGgGUA6NLw09EwE0CqkOc4q9oUmW1yo/edit?usp=sharing"",""เชียงราย!J439"")"),1)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IFERROR(__xludf.DUMMYFUNCTION("IMPORTRANGE(""https://docs.google.com/spreadsheets/d/11923uPwbBZFjjGgGUA6NLw09EwE0CqkOc4q9oUmW1yo/edit?usp=sharing"",""เชียงราย!J440"")"),1)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IFERROR(__xludf.DUMMYFUNCTION("IMPORTRANGE(""https://docs.google.com/spreadsheets/d/11923uPwbBZFjjGgGUA6NLw09EwE0CqkOc4q9oUmW1yo/edit?usp=sharing"",""เชียงราย!J441"")"),1)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IFERROR(__xludf.DUMMYFUNCTION("IMPORTRANGE(""https://docs.google.com/spreadsheets/d/11923uPwbBZFjjGgGUA6NLw09EwE0CqkOc4q9oUmW1yo/edit?usp=sharing"",""เชียงราย!I442"")"),30)</f>
        <v>30</v>
      </c>
      <c r="J547" s="188">
        <f ca="1">IFERROR(__xludf.DUMMYFUNCTION("IMPORTRANGE(""https://docs.google.com/spreadsheets/d/11923uPwbBZFjjGgGUA6NLw09EwE0CqkOc4q9oUmW1yo/edit?usp=sharing"",""เชียงราย!J442"")"),30)</f>
        <v>30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IFERROR(__xludf.DUMMYFUNCTION("IMPORTRANGE(""https://docs.google.com/spreadsheets/d/11923uPwbBZFjjGgGUA6NLw09EwE0CqkOc4q9oUmW1yo/edit?usp=sharing"",""เชียงราย!J166"")"),0)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IFERROR(__xludf.DUMMYFUNCTION("IMPORTRANGE(""https://docs.google.com/spreadsheets/d/11923uPwbBZFjjGgGUA6NLw09EwE0CqkOc4q9oUmW1yo/edit?usp=sharing"",""เชียงราย!J444"")"),0)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IFERROR(__xludf.DUMMYFUNCTION("IMPORTRANGE(""https://docs.google.com/spreadsheets/d/11923uPwbBZFjjGgGUA6NLw09EwE0CqkOc4q9oUmW1yo/edit?usp=sharing"",""เชียงราย!J445"")"),0)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IFERROR(__xludf.DUMMYFUNCTION("IMPORTRANGE(""https://docs.google.com/spreadsheets/d/11923uPwbBZFjjGgGUA6NLw09EwE0CqkOc4q9oUmW1yo/edit?usp=sharing"",""เชียงราย!I446"")"),0)</f>
        <v>0</v>
      </c>
      <c r="J551" s="409">
        <f ca="1">IFERROR(__xludf.DUMMYFUNCTION("IMPORTRANGE(""https://docs.google.com/spreadsheets/d/11923uPwbBZFjjGgGUA6NLw09EwE0CqkOc4q9oUmW1yo/edit?usp=sharing"",""เชียงราย!J446"")"),0)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IFERROR(__xludf.DUMMYFUNCTION("IMPORTRANGE(""https://docs.google.com/spreadsheets/d/11923uPwbBZFjjGgGUA6NLw09EwE0CqkOc4q9oUmW1yo/edit?usp=sharing"",""เชียงราย!L446"")"),0)</f>
        <v>0</v>
      </c>
      <c r="M551" s="411"/>
      <c r="N551" s="411">
        <f ca="1">IFERROR(__xludf.DUMMYFUNCTION("IMPORTRANGE(""https://docs.google.com/spreadsheets/d/11923uPwbBZFjjGgGUA6NLw09EwE0CqkOc4q9oUmW1yo/edit?usp=sharing"",""เชียงราย!M446"")"),0)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IFERROR(__xludf.DUMMYFUNCTION("IMPORTRANGE(""https://docs.google.com/spreadsheets/d/11923uPwbBZFjjGgGUA6NLw09EwE0CqkOc4q9oUmW1yo/edit?usp=sharing"",""เชียงราย!L447"")"),0)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IFERROR(__xludf.DUMMYFUNCTION("IMPORTRANGE(""https://docs.google.com/spreadsheets/d/11923uPwbBZFjjGgGUA6NLw09EwE0CqkOc4q9oUmW1yo/edit?usp=sharing"",""เชียงราย!M447"")"),0)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IFERROR(__xludf.DUMMYFUNCTION("IMPORTRANGE(""https://docs.google.com/spreadsheets/d/11923uPwbBZFjjGgGUA6NLw09EwE0CqkOc4q9oUmW1yo/edit?usp=sharing"",""เชียงราย!L448"")"),0)</f>
        <v>0</v>
      </c>
      <c r="M553" s="165"/>
      <c r="N553" s="168">
        <f ca="1">IFERROR(__xludf.DUMMYFUNCTION("IMPORTRANGE(""https://docs.google.com/spreadsheets/d/11923uPwbBZFjjGgGUA6NLw09EwE0CqkOc4q9oUmW1yo/edit?usp=sharing"",""เชียงราย!M448"")"),0)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IFERROR(__xludf.DUMMYFUNCTION("IMPORTRANGE(""https://docs.google.com/spreadsheets/d/11923uPwbBZFjjGgGUA6NLw09EwE0CqkOc4q9oUmW1yo/edit?usp=sharing"",""เชียงราย!L449"")"),0)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IFERROR(__xludf.DUMMYFUNCTION("IMPORTRANGE(""https://docs.google.com/spreadsheets/d/11923uPwbBZFjjGgGUA6NLw09EwE0CqkOc4q9oUmW1yo/edit?usp=sharing"",""เชียงราย!M449"")"),0)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IFERROR(__xludf.DUMMYFUNCTION("IMPORTRANGE(""https://docs.google.com/spreadsheets/d/11923uPwbBZFjjGgGUA6NLw09EwE0CqkOc4q9oUmW1yo/edit?usp=sharing"",""เชียงราย!L450"")"),0)</f>
        <v>0</v>
      </c>
      <c r="M555" s="168"/>
      <c r="N555" s="168">
        <f ca="1">IFERROR(__xludf.DUMMYFUNCTION("IMPORTRANGE(""https://docs.google.com/spreadsheets/d/11923uPwbBZFjjGgGUA6NLw09EwE0CqkOc4q9oUmW1yo/edit?usp=sharing"",""เชียงราย!M450"")"),0)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IFERROR(__xludf.DUMMYFUNCTION("IMPORTRANGE(""https://docs.google.com/spreadsheets/d/11923uPwbBZFjjGgGUA6NLw09EwE0CqkOc4q9oUmW1yo/edit?usp=sharing"",""เชียงราย!M451"")"),0)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IFERROR(__xludf.DUMMYFUNCTION("IMPORTRANGE(""https://docs.google.com/spreadsheets/d/11923uPwbBZFjjGgGUA6NLw09EwE0CqkOc4q9oUmW1yo/edit?usp=sharing"",""เชียงราย!M452"")"),0)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IFERROR(__xludf.DUMMYFUNCTION("IMPORTRANGE(""https://docs.google.com/spreadsheets/d/11923uPwbBZFjjGgGUA6NLw09EwE0CqkOc4q9oUmW1yo/edit?usp=sharing"",""เชียงราย!M453"")"),0)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IFERROR(__xludf.DUMMYFUNCTION("IMPORTRANGE(""https://docs.google.com/spreadsheets/d/11923uPwbBZFjjGgGUA6NLw09EwE0CqkOc4q9oUmW1yo/edit?usp=sharing"",""เชียงราย!M454"")"),0)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IFERROR(__xludf.DUMMYFUNCTION("IMPORTRANGE(""https://docs.google.com/spreadsheets/d/11923uPwbBZFjjGgGUA6NLw09EwE0CqkOc4q9oUmW1yo/edit?usp=sharing"",""เชียงราย!I455"")"),0)</f>
        <v>0</v>
      </c>
      <c r="J560" s="162">
        <f ca="1">IFERROR(__xludf.DUMMYFUNCTION("IMPORTRANGE(""https://docs.google.com/spreadsheets/d/11923uPwbBZFjjGgGUA6NLw09EwE0CqkOc4q9oUmW1yo/edit?usp=sharing"",""เชียงราย!J455"")"),0)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IFERROR(__xludf.DUMMYFUNCTION("IMPORTRANGE(""https://docs.google.com/spreadsheets/d/11923uPwbBZFjjGgGUA6NLw09EwE0CqkOc4q9oUmW1yo/edit?usp=sharing"",""เชียงราย!I456"")"),0)</f>
        <v>0</v>
      </c>
      <c r="J561" s="203">
        <f ca="1">IFERROR(__xludf.DUMMYFUNCTION("IMPORTRANGE(""https://docs.google.com/spreadsheets/d/11923uPwbBZFjjGgGUA6NLw09EwE0CqkOc4q9oUmW1yo/edit?usp=sharing"",""เชียงราย!J456"")"),0)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IFERROR(__xludf.DUMMYFUNCTION("IMPORTRANGE(""https://docs.google.com/spreadsheets/d/11923uPwbBZFjjGgGUA6NLw09EwE0CqkOc4q9oUmW1yo/edit?usp=sharing"",""เชียงราย!I459"")"),3400)</f>
        <v>3400</v>
      </c>
      <c r="J564" s="370">
        <f ca="1">IFERROR(__xludf.DUMMYFUNCTION("IMPORTRANGE(""https://docs.google.com/spreadsheets/d/11923uPwbBZFjjGgGUA6NLw09EwE0CqkOc4q9oUmW1yo/edit?usp=sharing"",""เชียงราย!J459"")"),6917)</f>
        <v>6917</v>
      </c>
      <c r="K564" s="371">
        <f ca="1">IF(I564&gt;0,J564*100/I564,0)</f>
        <v>203.44117647058823</v>
      </c>
      <c r="L564" s="372">
        <f ca="1">IFERROR(__xludf.DUMMYFUNCTION("IMPORTRANGE(""https://docs.google.com/spreadsheets/d/11923uPwbBZFjjGgGUA6NLw09EwE0CqkOc4q9oUmW1yo/edit?usp=sharing"",""เชียงราย!L459"")"),165600)</f>
        <v>165600</v>
      </c>
      <c r="M564" s="372"/>
      <c r="N564" s="372">
        <f ca="1">IFERROR(__xludf.DUMMYFUNCTION("IMPORTRANGE(""https://docs.google.com/spreadsheets/d/11923uPwbBZFjjGgGUA6NLw09EwE0CqkOc4q9oUmW1yo/edit?usp=sharing"",""เชียงราย!M459"")"),102900)</f>
        <v>102900</v>
      </c>
      <c r="O564" s="372">
        <f t="shared" ref="O564:O568" ca="1" si="122">+IF(L564&gt;0,N564*100/L564,0)</f>
        <v>62.137681159420289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IFERROR(__xludf.DUMMYFUNCTION("IMPORTRANGE(""https://docs.google.com/spreadsheets/d/11923uPwbBZFjjGgGUA6NLw09EwE0CqkOc4q9oUmW1yo/edit?usp=sharing"",""เชียงราย!L460"")"),0)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IFERROR(__xludf.DUMMYFUNCTION("IMPORTRANGE(""https://docs.google.com/spreadsheets/d/11923uPwbBZFjjGgGUA6NLw09EwE0CqkOc4q9oUmW1yo/edit?usp=sharing"",""เชียงราย!M460"")"),0)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IFERROR(__xludf.DUMMYFUNCTION("IMPORTRANGE(""https://docs.google.com/spreadsheets/d/11923uPwbBZFjjGgGUA6NLw09EwE0CqkOc4q9oUmW1yo/edit?usp=sharing"",""เชียงราย!L461"")"),165600)</f>
        <v>165600</v>
      </c>
      <c r="M566" s="165"/>
      <c r="N566" s="168">
        <f ca="1">IFERROR(__xludf.DUMMYFUNCTION("IMPORTRANGE(""https://docs.google.com/spreadsheets/d/11923uPwbBZFjjGgGUA6NLw09EwE0CqkOc4q9oUmW1yo/edit?usp=sharing"",""เชียงราย!M461"")"),102900)</f>
        <v>102900</v>
      </c>
      <c r="O566" s="168">
        <f t="shared" ca="1" si="122"/>
        <v>62.137681159420289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IFERROR(__xludf.DUMMYFUNCTION("IMPORTRANGE(""https://docs.google.com/spreadsheets/d/11923uPwbBZFjjGgGUA6NLw09EwE0CqkOc4q9oUmW1yo/edit?usp=sharing"",""เชียงราย!L462"")"),0)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IFERROR(__xludf.DUMMYFUNCTION("IMPORTRANGE(""https://docs.google.com/spreadsheets/d/11923uPwbBZFjjGgGUA6NLw09EwE0CqkOc4q9oUmW1yo/edit?usp=sharing"",""เชียงราย!M462"")"),0)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IFERROR(__xludf.DUMMYFUNCTION("IMPORTRANGE(""https://docs.google.com/spreadsheets/d/11923uPwbBZFjjGgGUA6NLw09EwE0CqkOc4q9oUmW1yo/edit?usp=sharing"",""เชียงราย!L463"")"),165600)</f>
        <v>165600</v>
      </c>
      <c r="M568" s="168"/>
      <c r="N568" s="168">
        <f ca="1">IFERROR(__xludf.DUMMYFUNCTION("IMPORTRANGE(""https://docs.google.com/spreadsheets/d/11923uPwbBZFjjGgGUA6NLw09EwE0CqkOc4q9oUmW1yo/edit?usp=sharing"",""เชียงราย!M463"")"),102900)</f>
        <v>102900</v>
      </c>
      <c r="O568" s="168">
        <f t="shared" ca="1" si="122"/>
        <v>62.137681159420289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IFERROR(__xludf.DUMMYFUNCTION("IMPORTRANGE(""https://docs.google.com/spreadsheets/d/11923uPwbBZFjjGgGUA6NLw09EwE0CqkOc4q9oUmW1yo/edit?usp=sharing"",""เชียงราย!M464"")"),0)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IFERROR(__xludf.DUMMYFUNCTION("IMPORTRANGE(""https://docs.google.com/spreadsheets/d/11923uPwbBZFjjGgGUA6NLw09EwE0CqkOc4q9oUmW1yo/edit?usp=sharing"",""เชียงราย!M465"")"),0)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IFERROR(__xludf.DUMMYFUNCTION("IMPORTRANGE(""https://docs.google.com/spreadsheets/d/11923uPwbBZFjjGgGUA6NLw09EwE0CqkOc4q9oUmW1yo/edit?usp=sharing"",""เชียงราย!M466"")"),62300)</f>
        <v>62300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IFERROR(__xludf.DUMMYFUNCTION("IMPORTRANGE(""https://docs.google.com/spreadsheets/d/11923uPwbBZFjjGgGUA6NLw09EwE0CqkOc4q9oUmW1yo/edit?usp=sharing"",""เชียงราย!M467"")"),40600)</f>
        <v>40600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IFERROR(__xludf.DUMMYFUNCTION("IMPORTRANGE(""https://docs.google.com/spreadsheets/d/11923uPwbBZFjjGgGUA6NLw09EwE0CqkOc4q9oUmW1yo/edit?usp=sharing"",""เชียงราย!I468"")"),3400)</f>
        <v>3400</v>
      </c>
      <c r="J573" s="420">
        <f ca="1">IFERROR(__xludf.DUMMYFUNCTION("IMPORTRANGE(""https://docs.google.com/spreadsheets/d/11923uPwbBZFjjGgGUA6NLw09EwE0CqkOc4q9oUmW1yo/edit?usp=sharing"",""เชียงราย!J468"")"),6917)</f>
        <v>6917</v>
      </c>
      <c r="K573" s="201">
        <f ca="1">IF(I573&gt;0,J573*100/I573,0)</f>
        <v>203.44117647058823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IFERROR(__xludf.DUMMYFUNCTION("IMPORTRANGE(""https://docs.google.com/spreadsheets/d/11923uPwbBZFjjGgGUA6NLw09EwE0CqkOc4q9oUmW1yo/edit?usp=sharing"",""เชียงราย!I470"")"),0)</f>
        <v>0</v>
      </c>
      <c r="J575" s="197">
        <f ca="1">IFERROR(__xludf.DUMMYFUNCTION("IMPORTRANGE(""https://docs.google.com/spreadsheets/d/11923uPwbBZFjjGgGUA6NLw09EwE0CqkOc4q9oUmW1yo/edit?usp=sharing"",""เชียงราย!J470"")"),7)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IFERROR(__xludf.DUMMYFUNCTION("IMPORTRANGE(""https://docs.google.com/spreadsheets/d/11923uPwbBZFjjGgGUA6NLw09EwE0CqkOc4q9oUmW1yo/edit?usp=sharing"",""เชียงราย!I471"")"),0)</f>
        <v>0</v>
      </c>
      <c r="J576" s="197">
        <f ca="1">IFERROR(__xludf.DUMMYFUNCTION("IMPORTRANGE(""https://docs.google.com/spreadsheets/d/11923uPwbBZFjjGgGUA6NLw09EwE0CqkOc4q9oUmW1yo/edit?usp=sharing"",""เชียงราย!J471"")"),271)</f>
        <v>271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IFERROR(__xludf.DUMMYFUNCTION("IMPORTRANGE(""https://docs.google.com/spreadsheets/d/11923uPwbBZFjjGgGUA6NLw09EwE0CqkOc4q9oUmW1yo/edit?usp=sharing"",""เชียงราย!I472"")"),0)</f>
        <v>0</v>
      </c>
      <c r="J577" s="188">
        <f ca="1">IFERROR(__xludf.DUMMYFUNCTION("IMPORTRANGE(""https://docs.google.com/spreadsheets/d/11923uPwbBZFjjGgGUA6NLw09EwE0CqkOc4q9oUmW1yo/edit?usp=sharing"",""เชียงราย!J472"")"),6640)</f>
        <v>6640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IFERROR(__xludf.DUMMYFUNCTION("IMPORTRANGE(""https://docs.google.com/spreadsheets/d/11923uPwbBZFjjGgGUA6NLw09EwE0CqkOc4q9oUmW1yo/edit?usp=sharing"",""เชียงราย!I473"")"),0)</f>
        <v>0</v>
      </c>
      <c r="J578" s="197">
        <f ca="1">IFERROR(__xludf.DUMMYFUNCTION("IMPORTRANGE(""https://docs.google.com/spreadsheets/d/11923uPwbBZFjjGgGUA6NLw09EwE0CqkOc4q9oUmW1yo/edit?usp=sharing"",""เชียงราย!J473"")"),1)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IFERROR(__xludf.DUMMYFUNCTION("IMPORTRANGE(""https://docs.google.com/spreadsheets/d/11923uPwbBZFjjGgGUA6NLw09EwE0CqkOc4q9oUmW1yo/edit?usp=sharing"",""เชียงราย!I474"")"),0)</f>
        <v>0</v>
      </c>
      <c r="J579" s="197">
        <f ca="1">IFERROR(__xludf.DUMMYFUNCTION("IMPORTRANGE(""https://docs.google.com/spreadsheets/d/11923uPwbBZFjjGgGUA6NLw09EwE0CqkOc4q9oUmW1yo/edit?usp=sharing"",""เชียงราย!J474"")"),5)</f>
        <v>5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IFERROR(__xludf.DUMMYFUNCTION("IMPORTRANGE(""https://docs.google.com/spreadsheets/d/11923uPwbBZFjjGgGUA6NLw09EwE0CqkOc4q9oUmW1yo/edit?usp=sharing"",""เชียงราย!I475"")"),176)</f>
        <v>176</v>
      </c>
      <c r="J580" s="370">
        <f ca="1">IFERROR(__xludf.DUMMYFUNCTION("IMPORTRANGE(""https://docs.google.com/spreadsheets/d/11923uPwbBZFjjGgGUA6NLw09EwE0CqkOc4q9oUmW1yo/edit?usp=sharing"",""เชียงราย!J475"")"),4)</f>
        <v>4</v>
      </c>
      <c r="K580" s="371">
        <f ca="1">IF(I580&gt;0,J580*100/I580,0)</f>
        <v>2.2727272727272729</v>
      </c>
      <c r="L580" s="372">
        <f ca="1">IFERROR(__xludf.DUMMYFUNCTION("IMPORTRANGE(""https://docs.google.com/spreadsheets/d/11923uPwbBZFjjGgGUA6NLw09EwE0CqkOc4q9oUmW1yo/edit?usp=sharing"",""เชียงราย!L475"")"),359076)</f>
        <v>359076</v>
      </c>
      <c r="M580" s="372"/>
      <c r="N580" s="372">
        <f ca="1">IFERROR(__xludf.DUMMYFUNCTION("IMPORTRANGE(""https://docs.google.com/spreadsheets/d/11923uPwbBZFjjGgGUA6NLw09EwE0CqkOc4q9oUmW1yo/edit?usp=sharing"",""เชียงราย!M475"")"),81447)</f>
        <v>81447</v>
      </c>
      <c r="O580" s="372">
        <f t="shared" ref="O580:O584" ca="1" si="124">+IF(L580&gt;0,N580*100/L580,0)</f>
        <v>22.682384787621562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IFERROR(__xludf.DUMMYFUNCTION("IMPORTRANGE(""https://docs.google.com/spreadsheets/d/11923uPwbBZFjjGgGUA6NLw09EwE0CqkOc4q9oUmW1yo/edit?usp=sharing"",""เชียงราย!L476"")"),0)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IFERROR(__xludf.DUMMYFUNCTION("IMPORTRANGE(""https://docs.google.com/spreadsheets/d/11923uPwbBZFjjGgGUA6NLw09EwE0CqkOc4q9oUmW1yo/edit?usp=sharing"",""เชียงราย!M476"")"),0)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IFERROR(__xludf.DUMMYFUNCTION("IMPORTRANGE(""https://docs.google.com/spreadsheets/d/11923uPwbBZFjjGgGUA6NLw09EwE0CqkOc4q9oUmW1yo/edit?usp=sharing"",""เชียงราย!L477"")"),359076)</f>
        <v>359076</v>
      </c>
      <c r="M582" s="165"/>
      <c r="N582" s="168">
        <f ca="1">IFERROR(__xludf.DUMMYFUNCTION("IMPORTRANGE(""https://docs.google.com/spreadsheets/d/11923uPwbBZFjjGgGUA6NLw09EwE0CqkOc4q9oUmW1yo/edit?usp=sharing"",""เชียงราย!M477"")"),81447)</f>
        <v>81447</v>
      </c>
      <c r="O582" s="168">
        <f t="shared" ca="1" si="124"/>
        <v>22.682384787621562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IFERROR(__xludf.DUMMYFUNCTION("IMPORTRANGE(""https://docs.google.com/spreadsheets/d/11923uPwbBZFjjGgGUA6NLw09EwE0CqkOc4q9oUmW1yo/edit?usp=sharing"",""เชียงราย!L478"")"),0)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IFERROR(__xludf.DUMMYFUNCTION("IMPORTRANGE(""https://docs.google.com/spreadsheets/d/11923uPwbBZFjjGgGUA6NLw09EwE0CqkOc4q9oUmW1yo/edit?usp=sharing"",""เชียงราย!M478"")"),0)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IFERROR(__xludf.DUMMYFUNCTION("IMPORTRANGE(""https://docs.google.com/spreadsheets/d/11923uPwbBZFjjGgGUA6NLw09EwE0CqkOc4q9oUmW1yo/edit?usp=sharing"",""เชียงราย!L479"")"),359076)</f>
        <v>359076</v>
      </c>
      <c r="M584" s="168"/>
      <c r="N584" s="168">
        <f ca="1">IFERROR(__xludf.DUMMYFUNCTION("IMPORTRANGE(""https://docs.google.com/spreadsheets/d/11923uPwbBZFjjGgGUA6NLw09EwE0CqkOc4q9oUmW1yo/edit?usp=sharing"",""เชียงราย!M479"")"),81447)</f>
        <v>81447</v>
      </c>
      <c r="O584" s="168">
        <f t="shared" ca="1" si="124"/>
        <v>22.682384787621562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IFERROR(__xludf.DUMMYFUNCTION("IMPORTRANGE(""https://docs.google.com/spreadsheets/d/11923uPwbBZFjjGgGUA6NLw09EwE0CqkOc4q9oUmW1yo/edit?usp=sharing"",""เชียงราย!M480"")"),0)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IFERROR(__xludf.DUMMYFUNCTION("IMPORTRANGE(""https://docs.google.com/spreadsheets/d/11923uPwbBZFjjGgGUA6NLw09EwE0CqkOc4q9oUmW1yo/edit?usp=sharing"",""เชียงราย!M481"")"),0)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IFERROR(__xludf.DUMMYFUNCTION("IMPORTRANGE(""https://docs.google.com/spreadsheets/d/11923uPwbBZFjjGgGUA6NLw09EwE0CqkOc4q9oUmW1yo/edit?usp=sharing"",""เชียงราย!M482"")"),57000)</f>
        <v>57000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IFERROR(__xludf.DUMMYFUNCTION("IMPORTRANGE(""https://docs.google.com/spreadsheets/d/11923uPwbBZFjjGgGUA6NLw09EwE0CqkOc4q9oUmW1yo/edit?usp=sharing"",""เชียงราย!M483"")"),24447)</f>
        <v>24447</v>
      </c>
      <c r="O588" s="168"/>
      <c r="P588" s="168"/>
    </row>
    <row r="589" spans="1:16" ht="21.75" customHeight="1" x14ac:dyDescent="0.3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IFERROR(__xludf.DUMMYFUNCTION("IMPORTRANGE(""https://docs.google.com/spreadsheets/d/11923uPwbBZFjjGgGUA6NLw09EwE0CqkOc4q9oUmW1yo/edit?usp=sharing"",""เชียงราย!I484"")"),176)</f>
        <v>176</v>
      </c>
      <c r="J589" s="187">
        <f ca="1">IFERROR(__xludf.DUMMYFUNCTION("IMPORTRANGE(""https://docs.google.com/spreadsheets/d/11923uPwbBZFjjGgGUA6NLw09EwE0CqkOc4q9oUmW1yo/edit?usp=sharing"",""เชียงราย!J484"")"),106)</f>
        <v>106</v>
      </c>
      <c r="K589" s="163">
        <f t="shared" ref="K589:K596" ca="1" si="125">IF(I589&gt;0,J589*100/I589,0)</f>
        <v>60.227272727272727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IFERROR(__xludf.DUMMYFUNCTION("IMPORTRANGE(""https://docs.google.com/spreadsheets/d/11923uPwbBZFjjGgGUA6NLw09EwE0CqkOc4q9oUmW1yo/edit?usp=sharing"",""เชียงราย!I485"")"),0)</f>
        <v>0</v>
      </c>
      <c r="J590" s="187">
        <f ca="1">IFERROR(__xludf.DUMMYFUNCTION("IMPORTRANGE(""https://docs.google.com/spreadsheets/d/11923uPwbBZFjjGgGUA6NLw09EwE0CqkOc4q9oUmW1yo/edit?usp=sharing"",""เชียงราย!J485"")"),61.91)</f>
        <v>61.91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IFERROR(__xludf.DUMMYFUNCTION("IMPORTRANGE(""https://docs.google.com/spreadsheets/d/11923uPwbBZFjjGgGUA6NLw09EwE0CqkOc4q9oUmW1yo/edit?usp=sharing"",""เชียงราย!I486"")"),176)</f>
        <v>176</v>
      </c>
      <c r="J591" s="187">
        <f ca="1">IFERROR(__xludf.DUMMYFUNCTION("IMPORTRANGE(""https://docs.google.com/spreadsheets/d/11923uPwbBZFjjGgGUA6NLw09EwE0CqkOc4q9oUmW1yo/edit?usp=sharing"",""เชียงราย!J486"")"),38)</f>
        <v>38</v>
      </c>
      <c r="K591" s="163">
        <f t="shared" ca="1" si="125"/>
        <v>21.59090909090909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IFERROR(__xludf.DUMMYFUNCTION("IMPORTRANGE(""https://docs.google.com/spreadsheets/d/11923uPwbBZFjjGgGUA6NLw09EwE0CqkOc4q9oUmW1yo/edit?usp=sharing"",""เชียงราย!I487"")"),0)</f>
        <v>0</v>
      </c>
      <c r="J592" s="187">
        <f ca="1">IFERROR(__xludf.DUMMYFUNCTION("IMPORTRANGE(""https://docs.google.com/spreadsheets/d/11923uPwbBZFjjGgGUA6NLw09EwE0CqkOc4q9oUmW1yo/edit?usp=sharing"",""เชียงราย!J487"")"),20.84)</f>
        <v>20.84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IFERROR(__xludf.DUMMYFUNCTION("IMPORTRANGE(""https://docs.google.com/spreadsheets/d/11923uPwbBZFjjGgGUA6NLw09EwE0CqkOc4q9oUmW1yo/edit?usp=sharing"",""เชียงราย!I488"")"),176)</f>
        <v>176</v>
      </c>
      <c r="J593" s="187">
        <f ca="1">IFERROR(__xludf.DUMMYFUNCTION("IMPORTRANGE(""https://docs.google.com/spreadsheets/d/11923uPwbBZFjjGgGUA6NLw09EwE0CqkOc4q9oUmW1yo/edit?usp=sharing"",""เชียงราย!J488"")"),2)</f>
        <v>2</v>
      </c>
      <c r="K593" s="163">
        <f t="shared" ca="1" si="125"/>
        <v>1.1363636363636365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IFERROR(__xludf.DUMMYFUNCTION("IMPORTRANGE(""https://docs.google.com/spreadsheets/d/11923uPwbBZFjjGgGUA6NLw09EwE0CqkOc4q9oUmW1yo/edit?usp=sharing"",""เชียงราย!I489"")"),0)</f>
        <v>0</v>
      </c>
      <c r="J594" s="187">
        <f ca="1">IFERROR(__xludf.DUMMYFUNCTION("IMPORTRANGE(""https://docs.google.com/spreadsheets/d/11923uPwbBZFjjGgGUA6NLw09EwE0CqkOc4q9oUmW1yo/edit?usp=sharing"",""เชียงราย!J489"")"),1.28)</f>
        <v>1.28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IFERROR(__xludf.DUMMYFUNCTION("IMPORTRANGE(""https://docs.google.com/spreadsheets/d/11923uPwbBZFjjGgGUA6NLw09EwE0CqkOc4q9oUmW1yo/edit?usp=sharing"",""เชียงราย!I490"")"),176)</f>
        <v>176</v>
      </c>
      <c r="J595" s="187">
        <f ca="1">IFERROR(__xludf.DUMMYFUNCTION("IMPORTRANGE(""https://docs.google.com/spreadsheets/d/11923uPwbBZFjjGgGUA6NLw09EwE0CqkOc4q9oUmW1yo/edit?usp=sharing"",""เชียงราย!J490"")"),4)</f>
        <v>4</v>
      </c>
      <c r="K595" s="163">
        <f t="shared" ca="1" si="125"/>
        <v>2.2727272727272729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IFERROR(__xludf.DUMMYFUNCTION("IMPORTRANGE(""https://docs.google.com/spreadsheets/d/11923uPwbBZFjjGgGUA6NLw09EwE0CqkOc4q9oUmW1yo/edit?usp=sharing"",""เชียงราย!I491"")"),0)</f>
        <v>0</v>
      </c>
      <c r="J596" s="241">
        <f ca="1">IFERROR(__xludf.DUMMYFUNCTION("IMPORTRANGE(""https://docs.google.com/spreadsheets/d/11923uPwbBZFjjGgGUA6NLw09EwE0CqkOc4q9oUmW1yo/edit?usp=sharing"",""เชียงราย!J491"")"),2.04)</f>
        <v>2.04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IFERROR(__xludf.DUMMYFUNCTION("IMPORTRANGE(""https://docs.google.com/spreadsheets/d/11923uPwbBZFjjGgGUA6NLw09EwE0CqkOc4q9oUmW1yo/edit?usp=sharing"",""เชียงราย!I492"")"),220)</f>
        <v>220</v>
      </c>
      <c r="J597" s="487">
        <f ca="1">IFERROR(__xludf.DUMMYFUNCTION("IMPORTRANGE(""https://docs.google.com/spreadsheets/d/11923uPwbBZFjjGgGUA6NLw09EwE0CqkOc4q9oUmW1yo/edit?usp=sharing"",""เชียงราย!J492"")"),0)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IFERROR(__xludf.DUMMYFUNCTION("IMPORTRANGE(""https://docs.google.com/spreadsheets/d/11923uPwbBZFjjGgGUA6NLw09EwE0CqkOc4q9oUmW1yo/edit?usp=sharing"",""เชียงราย!L492"")"),15500)</f>
        <v>15500</v>
      </c>
      <c r="M597" s="411"/>
      <c r="N597" s="411">
        <f ca="1">IFERROR(__xludf.DUMMYFUNCTION("IMPORTRANGE(""https://docs.google.com/spreadsheets/d/11923uPwbBZFjjGgGUA6NLw09EwE0CqkOc4q9oUmW1yo/edit?usp=sharing"",""เชียงราย!M492"")"),1800)</f>
        <v>1800</v>
      </c>
      <c r="O597" s="411">
        <f t="shared" ref="O597:O601" ca="1" si="126">+IF(L597&gt;0,N597*100/L597,0)</f>
        <v>11.612903225806452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IFERROR(__xludf.DUMMYFUNCTION("IMPORTRANGE(""https://docs.google.com/spreadsheets/d/11923uPwbBZFjjGgGUA6NLw09EwE0CqkOc4q9oUmW1yo/edit?usp=sharing"",""เชียงราย!L493"")"),0)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IFERROR(__xludf.DUMMYFUNCTION("IMPORTRANGE(""https://docs.google.com/spreadsheets/d/11923uPwbBZFjjGgGUA6NLw09EwE0CqkOc4q9oUmW1yo/edit?usp=sharing"",""เชียงราย!M493"")"),0)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IFERROR(__xludf.DUMMYFUNCTION("IMPORTRANGE(""https://docs.google.com/spreadsheets/d/11923uPwbBZFjjGgGUA6NLw09EwE0CqkOc4q9oUmW1yo/edit?usp=sharing"",""เชียงราย!L494"")"),15500)</f>
        <v>15500</v>
      </c>
      <c r="M599" s="165"/>
      <c r="N599" s="168">
        <f ca="1">IFERROR(__xludf.DUMMYFUNCTION("IMPORTRANGE(""https://docs.google.com/spreadsheets/d/11923uPwbBZFjjGgGUA6NLw09EwE0CqkOc4q9oUmW1yo/edit?usp=sharing"",""เชียงราย!M494"")"),1800)</f>
        <v>1800</v>
      </c>
      <c r="O599" s="168">
        <f t="shared" ca="1" si="126"/>
        <v>11.612903225806452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IFERROR(__xludf.DUMMYFUNCTION("IMPORTRANGE(""https://docs.google.com/spreadsheets/d/11923uPwbBZFjjGgGUA6NLw09EwE0CqkOc4q9oUmW1yo/edit?usp=sharing"",""เชียงราย!L495"")"),0)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IFERROR(__xludf.DUMMYFUNCTION("IMPORTRANGE(""https://docs.google.com/spreadsheets/d/11923uPwbBZFjjGgGUA6NLw09EwE0CqkOc4q9oUmW1yo/edit?usp=sharing"",""เชียงราย!M495"")"),0)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IFERROR(__xludf.DUMMYFUNCTION("IMPORTRANGE(""https://docs.google.com/spreadsheets/d/11923uPwbBZFjjGgGUA6NLw09EwE0CqkOc4q9oUmW1yo/edit?usp=sharing"",""เชียงราย!L496"")"),15500)</f>
        <v>15500</v>
      </c>
      <c r="M601" s="168"/>
      <c r="N601" s="168">
        <f ca="1">IFERROR(__xludf.DUMMYFUNCTION("IMPORTRANGE(""https://docs.google.com/spreadsheets/d/11923uPwbBZFjjGgGUA6NLw09EwE0CqkOc4q9oUmW1yo/edit?usp=sharing"",""เชียงราย!M496"")"),1800)</f>
        <v>1800</v>
      </c>
      <c r="O601" s="168">
        <f t="shared" ca="1" si="126"/>
        <v>11.612903225806452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IFERROR(__xludf.DUMMYFUNCTION("IMPORTRANGE(""https://docs.google.com/spreadsheets/d/11923uPwbBZFjjGgGUA6NLw09EwE0CqkOc4q9oUmW1yo/edit?usp=sharing"",""เชียงราย!M497"")"),0)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IFERROR(__xludf.DUMMYFUNCTION("IMPORTRANGE(""https://docs.google.com/spreadsheets/d/11923uPwbBZFjjGgGUA6NLw09EwE0CqkOc4q9oUmW1yo/edit?usp=sharing"",""เชียงราย!M498"")"),0)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IFERROR(__xludf.DUMMYFUNCTION("IMPORTRANGE(""https://docs.google.com/spreadsheets/d/11923uPwbBZFjjGgGUA6NLw09EwE0CqkOc4q9oUmW1yo/edit?usp=sharing"",""เชียงราย!M499"")"),0)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IFERROR(__xludf.DUMMYFUNCTION("IMPORTRANGE(""https://docs.google.com/spreadsheets/d/11923uPwbBZFjjGgGUA6NLw09EwE0CqkOc4q9oUmW1yo/edit?usp=sharing"",""เชียงราย!M500"")"),1800)</f>
        <v>1800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IFERROR(__xludf.DUMMYFUNCTION("IMPORTRANGE(""https://docs.google.com/spreadsheets/d/11923uPwbBZFjjGgGUA6NLw09EwE0CqkOc4q9oUmW1yo/edit?usp=sharing"",""เชียงราย!J502"")"),0)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IFERROR(__xludf.DUMMYFUNCTION("IMPORTRANGE(""https://docs.google.com/spreadsheets/d/11923uPwbBZFjjGgGUA6NLw09EwE0CqkOc4q9oUmW1yo/edit?usp=sharing"",""เชียงราย!J503"")"),1)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IFERROR(__xludf.DUMMYFUNCTION("IMPORTRANGE(""https://docs.google.com/spreadsheets/d/11923uPwbBZFjjGgGUA6NLw09EwE0CqkOc4q9oUmW1yo/edit?usp=sharing"",""เชียงราย!J166"")"),0)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IFERROR(__xludf.DUMMYFUNCTION("IMPORTRANGE(""https://docs.google.com/spreadsheets/d/11923uPwbBZFjjGgGUA6NLw09EwE0CqkOc4q9oUmW1yo/edit?usp=sharing"",""เชียงราย!J166"")"),0)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IFERROR(__xludf.DUMMYFUNCTION("IMPORTRANGE(""https://docs.google.com/spreadsheets/d/11923uPwbBZFjjGgGUA6NLw09EwE0CqkOc4q9oUmW1yo/edit?usp=sharing"",""เชียงราย!I506"")"),220)</f>
        <v>220</v>
      </c>
      <c r="J611" s="162">
        <f ca="1">IFERROR(__xludf.DUMMYFUNCTION("IMPORTRANGE(""https://docs.google.com/spreadsheets/d/11923uPwbBZFjjGgGUA6NLw09EwE0CqkOc4q9oUmW1yo/edit?usp=sharing"",""เชียงราย!J506"")"),0)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IFERROR(__xludf.DUMMYFUNCTION("IMPORTRANGE(""https://docs.google.com/spreadsheets/d/11923uPwbBZFjjGgGUA6NLw09EwE0CqkOc4q9oUmW1yo/edit?usp=sharing"",""เชียงราย!I507"")"),0)</f>
        <v>0</v>
      </c>
      <c r="J612" s="197">
        <f ca="1">IFERROR(__xludf.DUMMYFUNCTION("IMPORTRANGE(""https://docs.google.com/spreadsheets/d/11923uPwbBZFjjGgGUA6NLw09EwE0CqkOc4q9oUmW1yo/edit?usp=sharing"",""เชียงราย!J507"")"),876)</f>
        <v>876</v>
      </c>
      <c r="K612" s="163">
        <f t="shared" ca="1" si="127"/>
        <v>398.18181818181819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IFERROR(__xludf.DUMMYFUNCTION("IMPORTRANGE(""https://docs.google.com/spreadsheets/d/11923uPwbBZFjjGgGUA6NLw09EwE0CqkOc4q9oUmW1yo/edit?usp=sharing"",""เชียงราย!I508"")"),0)</f>
        <v>0</v>
      </c>
      <c r="J613" s="197">
        <f ca="1">IFERROR(__xludf.DUMMYFUNCTION("IMPORTRANGE(""https://docs.google.com/spreadsheets/d/11923uPwbBZFjjGgGUA6NLw09EwE0CqkOc4q9oUmW1yo/edit?usp=sharing"",""เชียงราย!J508"")"),876)</f>
        <v>876</v>
      </c>
      <c r="K613" s="163">
        <f t="shared" ca="1" si="127"/>
        <v>398.18181818181819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IFERROR(__xludf.DUMMYFUNCTION("IMPORTRANGE(""https://docs.google.com/spreadsheets/d/11923uPwbBZFjjGgGUA6NLw09EwE0CqkOc4q9oUmW1yo/edit?usp=sharing"",""เชียงราย!I509"")"),0)</f>
        <v>0</v>
      </c>
      <c r="J614" s="197">
        <f ca="1">IFERROR(__xludf.DUMMYFUNCTION("IMPORTRANGE(""https://docs.google.com/spreadsheets/d/11923uPwbBZFjjGgGUA6NLw09EwE0CqkOc4q9oUmW1yo/edit?usp=sharing"",""เชียงราย!J509"")"),0)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IFERROR(__xludf.DUMMYFUNCTION("IMPORTRANGE(""https://docs.google.com/spreadsheets/d/11923uPwbBZFjjGgGUA6NLw09EwE0CqkOc4q9oUmW1yo/edit?usp=sharing"",""เชียงราย!I510"")"),0)</f>
        <v>0</v>
      </c>
      <c r="J615" s="197">
        <f ca="1">IFERROR(__xludf.DUMMYFUNCTION("IMPORTRANGE(""https://docs.google.com/spreadsheets/d/11923uPwbBZFjjGgGUA6NLw09EwE0CqkOc4q9oUmW1yo/edit?usp=sharing"",""เชียงราย!J510"")"),0)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IFERROR(__xludf.DUMMYFUNCTION("IMPORTRANGE(""https://docs.google.com/spreadsheets/d/11923uPwbBZFjjGgGUA6NLw09EwE0CqkOc4q9oUmW1yo/edit?usp=sharing"",""เชียงราย!I511"")"),0)</f>
        <v>0</v>
      </c>
      <c r="J616" s="197">
        <f ca="1">IFERROR(__xludf.DUMMYFUNCTION("IMPORTRANGE(""https://docs.google.com/spreadsheets/d/11923uPwbBZFjjGgGUA6NLw09EwE0CqkOc4q9oUmW1yo/edit?usp=sharing"",""เชียงราย!J511"")"),0)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IFERROR(__xludf.DUMMYFUNCTION("IMPORTRANGE(""https://docs.google.com/spreadsheets/d/11923uPwbBZFjjGgGUA6NLw09EwE0CqkOc4q9oUmW1yo/edit?usp=sharing"",""เชียงราย!I512"")"),0)</f>
        <v>0</v>
      </c>
      <c r="J617" s="187">
        <f ca="1">IFERROR(__xludf.DUMMYFUNCTION("IMPORTRANGE(""https://docs.google.com/spreadsheets/d/11923uPwbBZFjjGgGUA6NLw09EwE0CqkOc4q9oUmW1yo/edit?usp=sharing"",""เชียงราย!J512"")"),0)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IFERROR(__xludf.DUMMYFUNCTION("IMPORTRANGE(""https://docs.google.com/spreadsheets/d/11923uPwbBZFjjGgGUA6NLw09EwE0CqkOc4q9oUmW1yo/edit?usp=sharing"",""เชียงราย!I513"")"),0)</f>
        <v>0</v>
      </c>
      <c r="J618" s="188">
        <f ca="1">IFERROR(__xludf.DUMMYFUNCTION("IMPORTRANGE(""https://docs.google.com/spreadsheets/d/11923uPwbBZFjjGgGUA6NLw09EwE0CqkOc4q9oUmW1yo/edit?usp=sharing"",""เชียงราย!J513"")"),0)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IFERROR(__xludf.DUMMYFUNCTION("IMPORTRANGE(""https://docs.google.com/spreadsheets/d/11923uPwbBZFjjGgGUA6NLw09EwE0CqkOc4q9oUmW1yo/edit?usp=sharing"",""เชียงราย!I514"")"),0)</f>
        <v>0</v>
      </c>
      <c r="J619" s="188">
        <f ca="1">IFERROR(__xludf.DUMMYFUNCTION("IMPORTRANGE(""https://docs.google.com/spreadsheets/d/11923uPwbBZFjjGgGUA6NLw09EwE0CqkOc4q9oUmW1yo/edit?usp=sharing"",""เชียงราย!J514"")"),0)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IFERROR(__xludf.DUMMYFUNCTION("IMPORTRANGE(""https://docs.google.com/spreadsheets/d/11923uPwbBZFjjGgGUA6NLw09EwE0CqkOc4q9oUmW1yo/edit?usp=sharing"",""เชียงราย!I515"")"),2288)</f>
        <v>2288</v>
      </c>
      <c r="J620" s="202">
        <f ca="1">IFERROR(__xludf.DUMMYFUNCTION("IMPORTRANGE(""https://docs.google.com/spreadsheets/d/11923uPwbBZFjjGgGUA6NLw09EwE0CqkOc4q9oUmW1yo/edit?usp=sharing"",""เชียงราย!J515"")"),0)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IFERROR(__xludf.DUMMYFUNCTION("IMPORTRANGE(""https://docs.google.com/spreadsheets/d/11923uPwbBZFjjGgGUA6NLw09EwE0CqkOc4q9oUmW1yo/edit?usp=sharing"",""เชียงราย!I516"")"),0)</f>
        <v>0</v>
      </c>
      <c r="J621" s="202">
        <f ca="1">IFERROR(__xludf.DUMMYFUNCTION("IMPORTRANGE(""https://docs.google.com/spreadsheets/d/11923uPwbBZFjjGgGUA6NLw09EwE0CqkOc4q9oUmW1yo/edit?usp=sharing"",""เชียงราย!J516"")"),0)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IFERROR(__xludf.DUMMYFUNCTION("IMPORTRANGE(""https://docs.google.com/spreadsheets/d/11923uPwbBZFjjGgGUA6NLw09EwE0CqkOc4q9oUmW1yo/edit?usp=sharing"",""เชียงราย!I517"")"),0)</f>
        <v>0</v>
      </c>
      <c r="J622" s="188">
        <f ca="1">IFERROR(__xludf.DUMMYFUNCTION("IMPORTRANGE(""https://docs.google.com/spreadsheets/d/11923uPwbBZFjjGgGUA6NLw09EwE0CqkOc4q9oUmW1yo/edit?usp=sharing"",""เชียงราย!J517"")"),0)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IFERROR(__xludf.DUMMYFUNCTION("IMPORTRANGE(""https://docs.google.com/spreadsheets/d/11923uPwbBZFjjGgGUA6NLw09EwE0CqkOc4q9oUmW1yo/edit?usp=sharing"",""เชียงราย!I518"")"),0)</f>
        <v>0</v>
      </c>
      <c r="J623" s="188">
        <f ca="1">IFERROR(__xludf.DUMMYFUNCTION("IMPORTRANGE(""https://docs.google.com/spreadsheets/d/11923uPwbBZFjjGgGUA6NLw09EwE0CqkOc4q9oUmW1yo/edit?usp=sharing"",""เชียงราย!J518"")"),0)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IFERROR(__xludf.DUMMYFUNCTION("IMPORTRANGE(""https://docs.google.com/spreadsheets/d/11923uPwbBZFjjGgGUA6NLw09EwE0CqkOc4q9oUmW1yo/edit?usp=sharing"",""เชียงราย!I519"")"),0)</f>
        <v>0</v>
      </c>
      <c r="J624" s="187">
        <f ca="1">IFERROR(__xludf.DUMMYFUNCTION("IMPORTRANGE(""https://docs.google.com/spreadsheets/d/11923uPwbBZFjjGgGUA6NLw09EwE0CqkOc4q9oUmW1yo/edit?usp=sharing"",""เชียงราย!J519"")"),0)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IFERROR(__xludf.DUMMYFUNCTION("IMPORTRANGE(""https://docs.google.com/spreadsheets/d/11923uPwbBZFjjGgGUA6NLw09EwE0CqkOc4q9oUmW1yo/edit?usp=sharing"",""เชียงราย!I520"")"),0)</f>
        <v>0</v>
      </c>
      <c r="J625" s="188">
        <f ca="1">IFERROR(__xludf.DUMMYFUNCTION("IMPORTRANGE(""https://docs.google.com/spreadsheets/d/11923uPwbBZFjjGgGUA6NLw09EwE0CqkOc4q9oUmW1yo/edit?usp=sharing"",""เชียงราย!J520"")"),0)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IFERROR(__xludf.DUMMYFUNCTION("IMPORTRANGE(""https://docs.google.com/spreadsheets/d/11923uPwbBZFjjGgGUA6NLw09EwE0CqkOc4q9oUmW1yo/edit?usp=sharing"",""เชียงราย!I521"")"),0)</f>
        <v>0</v>
      </c>
      <c r="J626" s="188">
        <f ca="1">IFERROR(__xludf.DUMMYFUNCTION("IMPORTRANGE(""https://docs.google.com/spreadsheets/d/11923uPwbBZFjjGgGUA6NLw09EwE0CqkOc4q9oUmW1yo/edit?usp=sharing"",""เชียงราย!J521"")"),0)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IFERROR(__xludf.DUMMYFUNCTION("IMPORTRANGE(""https://docs.google.com/spreadsheets/d/11923uPwbBZFjjGgGUA6NLw09EwE0CqkOc4q9oUmW1yo/edit?usp=sharing"",""เชียงราย!I523"")"),7774600)</f>
        <v>7774600</v>
      </c>
      <c r="J628" s="341">
        <f ca="1">IFERROR(__xludf.DUMMYFUNCTION("IMPORTRANGE(""https://docs.google.com/spreadsheets/d/11923uPwbBZFjjGgGUA6NLw09EwE0CqkOc4q9oUmW1yo/edit?usp=sharing"",""เชียงราย!J523"")"),2044238.08)</f>
        <v>2044238.08</v>
      </c>
      <c r="K628" s="342">
        <f t="shared" ref="K628:K635" ca="1" si="129">IF(I628&gt;0,J628*100/I628,0)</f>
        <v>26.293803925603889</v>
      </c>
      <c r="L628" s="342"/>
      <c r="M628" s="342"/>
      <c r="N628" s="342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IFERROR(__xludf.DUMMYFUNCTION("IMPORTRANGE(""https://docs.google.com/spreadsheets/d/11923uPwbBZFjjGgGUA6NLw09EwE0CqkOc4q9oUmW1yo/edit?usp=sharing"",""เชียงราย!I524"")"),325)</f>
        <v>325</v>
      </c>
      <c r="J629" s="341">
        <f ca="1">IFERROR(__xludf.DUMMYFUNCTION("IMPORTRANGE(""https://docs.google.com/spreadsheets/d/11923uPwbBZFjjGgGUA6NLw09EwE0CqkOc4q9oUmW1yo/edit?usp=sharing"",""เชียงราย!J524"")"),80)</f>
        <v>80</v>
      </c>
      <c r="K629" s="342">
        <f t="shared" ca="1" si="129"/>
        <v>24.615384615384617</v>
      </c>
      <c r="L629" s="342"/>
      <c r="M629" s="342"/>
      <c r="N629" s="342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IFERROR(__xludf.DUMMYFUNCTION("IMPORTRANGE(""https://docs.google.com/spreadsheets/d/11923uPwbBZFjjGgGUA6NLw09EwE0CqkOc4q9oUmW1yo/edit?usp=sharing"",""เชียงราย!I525"")"),6396999.71)</f>
        <v>6396999.71</v>
      </c>
      <c r="J630" s="341">
        <f ca="1">IFERROR(__xludf.DUMMYFUNCTION("IMPORTRANGE(""https://docs.google.com/spreadsheets/d/11923uPwbBZFjjGgGUA6NLw09EwE0CqkOc4q9oUmW1yo/edit?usp=sharing"",""เชียงราย!J525"")"),732358.91)</f>
        <v>732358.91</v>
      </c>
      <c r="K630" s="342">
        <f t="shared" ca="1" si="129"/>
        <v>11.448474960146591</v>
      </c>
      <c r="L630" s="342"/>
      <c r="M630" s="342"/>
      <c r="N630" s="342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IFERROR(__xludf.DUMMYFUNCTION("IMPORTRANGE(""https://docs.google.com/spreadsheets/d/11923uPwbBZFjjGgGUA6NLw09EwE0CqkOc4q9oUmW1yo/edit?usp=sharing"",""เชียงราย!I526"")"),162)</f>
        <v>162</v>
      </c>
      <c r="J631" s="341">
        <f ca="1">IFERROR(__xludf.DUMMYFUNCTION("IMPORTRANGE(""https://docs.google.com/spreadsheets/d/11923uPwbBZFjjGgGUA6NLw09EwE0CqkOc4q9oUmW1yo/edit?usp=sharing"",""เชียงราย!J526"")"),78)</f>
        <v>78</v>
      </c>
      <c r="K631" s="342">
        <f t="shared" ca="1" si="129"/>
        <v>48.148148148148145</v>
      </c>
      <c r="L631" s="342"/>
      <c r="M631" s="342"/>
      <c r="N631" s="342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IFERROR(__xludf.DUMMYFUNCTION("IMPORTRANGE(""https://docs.google.com/spreadsheets/d/11923uPwbBZFjjGgGUA6NLw09EwE0CqkOc4q9oUmW1yo/edit?usp=sharing"",""เชียงราย!I527"")"),742206.51)</f>
        <v>742206.51</v>
      </c>
      <c r="J632" s="341">
        <f ca="1">IFERROR(__xludf.DUMMYFUNCTION("IMPORTRANGE(""https://docs.google.com/spreadsheets/d/11923uPwbBZFjjGgGUA6NLw09EwE0CqkOc4q9oUmW1yo/edit?usp=sharing"",""เชียงราย!J527"")"),0)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IFERROR(__xludf.DUMMYFUNCTION("IMPORTRANGE(""https://docs.google.com/spreadsheets/d/11923uPwbBZFjjGgGUA6NLw09EwE0CqkOc4q9oUmW1yo/edit?usp=sharing"",""เชียงราย!I528"")"),15)</f>
        <v>15</v>
      </c>
      <c r="J633" s="341">
        <f ca="1">IFERROR(__xludf.DUMMYFUNCTION("IMPORTRANGE(""https://docs.google.com/spreadsheets/d/11923uPwbBZFjjGgGUA6NLw09EwE0CqkOc4q9oUmW1yo/edit?usp=sharing"",""เชียงราย!J528"")"),0)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IFERROR(__xludf.DUMMYFUNCTION("IMPORTRANGE(""https://docs.google.com/spreadsheets/d/11923uPwbBZFjjGgGUA6NLw09EwE0CqkOc4q9oUmW1yo/edit?usp=sharing"",""เชียงราย!I529"")"),4000000)</f>
        <v>4000000</v>
      </c>
      <c r="J634" s="341">
        <f ca="1">IFERROR(__xludf.DUMMYFUNCTION("IMPORTRANGE(""https://docs.google.com/spreadsheets/d/11923uPwbBZFjjGgGUA6NLw09EwE0CqkOc4q9oUmW1yo/edit?usp=sharing"",""เชียงราย!J529"")"),1380000)</f>
        <v>1380000</v>
      </c>
      <c r="K634" s="342">
        <f t="shared" ca="1" si="129"/>
        <v>34.5</v>
      </c>
      <c r="L634" s="342"/>
      <c r="M634" s="342"/>
      <c r="N634" s="342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IFERROR(__xludf.DUMMYFUNCTION("IMPORTRANGE(""https://docs.google.com/spreadsheets/d/11923uPwbBZFjjGgGUA6NLw09EwE0CqkOc4q9oUmW1yo/edit?usp=sharing"",""เชียงราย!I530"")"),162)</f>
        <v>162</v>
      </c>
      <c r="J635" s="504">
        <f ca="1">IFERROR(__xludf.DUMMYFUNCTION("IMPORTRANGE(""https://docs.google.com/spreadsheets/d/11923uPwbBZFjjGgGUA6NLw09EwE0CqkOc4q9oUmW1yo/edit?usp=sharing"",""เชียงราย!J530"")"),46)</f>
        <v>46</v>
      </c>
      <c r="K635" s="486">
        <f t="shared" ca="1" si="129"/>
        <v>28.395061728395063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5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5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IFERROR(__xludf.DUMMYFUNCTION("IMPORTRANGE(""https://docs.google.com/spreadsheets/d/11923uPwbBZFjjGgGUA6NLw09EwE0CqkOc4q9oUmW1yo/edit?usp=sharing"",""เชียงราย!J541"")"),0)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5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IFERROR(__xludf.DUMMYFUNCTION("IMPORTRANGE(""https://docs.google.com/spreadsheets/d/11923uPwbBZFjjGgGUA6NLw09EwE0CqkOc4q9oUmW1yo/edit?usp=sharing"",""เชียงราย!J542"")"),0)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5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IFERROR(__xludf.DUMMYFUNCTION("IMPORTRANGE(""https://docs.google.com/spreadsheets/d/11923uPwbBZFjjGgGUA6NLw09EwE0CqkOc4q9oUmW1yo/edit?usp=sharing"",""เชียงราย!I543"")"),0)</f>
        <v>0</v>
      </c>
      <c r="J648" s="535">
        <f ca="1">IFERROR(__xludf.DUMMYFUNCTION("IMPORTRANGE(""https://docs.google.com/spreadsheets/d/11923uPwbBZFjjGgGUA6NLw09EwE0CqkOc4q9oUmW1yo/edit?usp=sharing"",""เชียงราย!J543"")"),0)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IFERROR(__xludf.DUMMYFUNCTION("IMPORTRANGE(""https://docs.google.com/spreadsheets/d/11923uPwbBZFjjGgGUA6NLw09EwE0CqkOc4q9oUmW1yo/edit?usp=sharing"",""เชียงราย!L543"")"),0)</f>
        <v>0</v>
      </c>
      <c r="M648" s="520"/>
      <c r="N648" s="537">
        <f ca="1">IFERROR(__xludf.DUMMYFUNCTION("IMPORTRANGE(""https://docs.google.com/spreadsheets/d/11923uPwbBZFjjGgGUA6NLw09EwE0CqkOc4q9oUmW1yo/edit?usp=sharing"",""เชียงราย!M543"")"),0)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5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IFERROR(__xludf.DUMMYFUNCTION("IMPORTRANGE(""https://docs.google.com/spreadsheets/d/11923uPwbBZFjjGgGUA6NLw09EwE0CqkOc4q9oUmW1yo/edit?usp=sharing"",""เชียงราย!I544"")"),0)</f>
        <v>0</v>
      </c>
      <c r="J649" s="535">
        <f ca="1">IFERROR(__xludf.DUMMYFUNCTION("IMPORTRANGE(""https://docs.google.com/spreadsheets/d/11923uPwbBZFjjGgGUA6NLw09EwE0CqkOc4q9oUmW1yo/edit?usp=sharing"",""เชียงราย!J544"")"),0)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IFERROR(__xludf.DUMMYFUNCTION("IMPORTRANGE(""https://docs.google.com/spreadsheets/d/11923uPwbBZFjjGgGUA6NLw09EwE0CqkOc4q9oUmW1yo/edit?usp=sharing"",""เชียงราย!L544"")"),0)</f>
        <v>0</v>
      </c>
      <c r="M649" s="520"/>
      <c r="N649" s="537">
        <f ca="1">IFERROR(__xludf.DUMMYFUNCTION("IMPORTRANGE(""https://docs.google.com/spreadsheets/d/11923uPwbBZFjjGgGUA6NLw09EwE0CqkOc4q9oUmW1yo/edit?usp=sharing"",""เชียงราย!M544"")"),0)</f>
        <v>0</v>
      </c>
      <c r="O649" s="536">
        <f t="shared" ca="1" si="132"/>
        <v>0</v>
      </c>
      <c r="P649" s="536"/>
    </row>
    <row r="650" spans="1:16" ht="21.75" customHeight="1" x14ac:dyDescent="0.45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IFERROR(__xludf.DUMMYFUNCTION("IMPORTRANGE(""https://docs.google.com/spreadsheets/d/11923uPwbBZFjjGgGUA6NLw09EwE0CqkOc4q9oUmW1yo/edit?usp=sharing"",""เชียงราย!I545"")"),0)</f>
        <v>0</v>
      </c>
      <c r="J650" s="535">
        <f ca="1">IFERROR(__xludf.DUMMYFUNCTION("IMPORTRANGE(""https://docs.google.com/spreadsheets/d/11923uPwbBZFjjGgGUA6NLw09EwE0CqkOc4q9oUmW1yo/edit?usp=sharing"",""เชียงราย!J545"")"),0)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IFERROR(__xludf.DUMMYFUNCTION("IMPORTRANGE(""https://docs.google.com/spreadsheets/d/11923uPwbBZFjjGgGUA6NLw09EwE0CqkOc4q9oUmW1yo/edit?usp=sharing"",""เชียงราย!L545"")"),0)</f>
        <v>0</v>
      </c>
      <c r="M650" s="520"/>
      <c r="N650" s="537">
        <f ca="1">IFERROR(__xludf.DUMMYFUNCTION("IMPORTRANGE(""https://docs.google.com/spreadsheets/d/11923uPwbBZFjjGgGUA6NLw09EwE0CqkOc4q9oUmW1yo/edit?usp=sharing"",""เชียงราย!M545"")"),0)</f>
        <v>0</v>
      </c>
      <c r="O650" s="536">
        <f t="shared" ca="1" si="132"/>
        <v>0</v>
      </c>
      <c r="P650" s="536"/>
    </row>
    <row r="651" spans="1:16" ht="21.75" customHeight="1" x14ac:dyDescent="0.45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IFERROR(__xludf.DUMMYFUNCTION("IMPORTRANGE(""https://docs.google.com/spreadsheets/d/11923uPwbBZFjjGgGUA6NLw09EwE0CqkOc4q9oUmW1yo/edit?usp=sharing"",""เชียงราย!I546"")"),0)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IFERROR(__xludf.DUMMYFUNCTION("IMPORTRANGE(""https://docs.google.com/spreadsheets/d/11923uPwbBZFjjGgGUA6NLw09EwE0CqkOc4q9oUmW1yo/edit?usp=sharing"",""เชียงราย!L546"")"),0)</f>
        <v>0</v>
      </c>
      <c r="M651" s="520"/>
      <c r="N651" s="537">
        <f ca="1">IFERROR(__xludf.DUMMYFUNCTION("IMPORTRANGE(""https://docs.google.com/spreadsheets/d/11923uPwbBZFjjGgGUA6NLw09EwE0CqkOc4q9oUmW1yo/edit?usp=sharing"",""เชียงราย!M546"")"),0)</f>
        <v>0</v>
      </c>
      <c r="O651" s="536">
        <f t="shared" ca="1" si="132"/>
        <v>0</v>
      </c>
      <c r="P651" s="536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IFERROR(__xludf.DUMMYFUNCTION("IMPORTRANGE(""https://docs.google.com/spreadsheets/d/11923uPwbBZFjjGgGUA6NLw09EwE0CqkOc4q9oUmW1yo/edit?usp=sharing"",""เชียงราย!J547"")"),0)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IFERROR(__xludf.DUMMYFUNCTION("IMPORTRANGE(""https://docs.google.com/spreadsheets/d/11923uPwbBZFjjGgGUA6NLw09EwE0CqkOc4q9oUmW1yo/edit?usp=sharing"",""เชียงราย!J548"")"),0)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IFERROR(__xludf.DUMMYFUNCTION("IMPORTRANGE(""https://docs.google.com/spreadsheets/d/11923uPwbBZFjjGgGUA6NLw09EwE0CqkOc4q9oUmW1yo/edit?usp=sharing"",""เชียงราย!J550"")"),0)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IFERROR(__xludf.DUMMYFUNCTION("IMPORTRANGE(""https://docs.google.com/spreadsheets/d/11923uPwbBZFjjGgGUA6NLw09EwE0CqkOc4q9oUmW1yo/edit?usp=sharing"",""เชียงราย!J551"")"),0)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IFERROR(__xludf.DUMMYFUNCTION("IMPORTRANGE(""https://docs.google.com/spreadsheets/d/11923uPwbBZFjjGgGUA6NLw09EwE0CqkOc4q9oUmW1yo/edit?usp=sharing"",""เชียงราย!J552"")"),0)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IFERROR(__xludf.DUMMYFUNCTION("IMPORTRANGE(""https://docs.google.com/spreadsheets/d/11923uPwbBZFjjGgGUA6NLw09EwE0CqkOc4q9oUmW1yo/edit?usp=sharing"",""เชียงราย!J553"")"),0)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IFERROR(__xludf.DUMMYFUNCTION("IMPORTRANGE(""https://docs.google.com/spreadsheets/d/11923uPwbBZFjjGgGUA6NLw09EwE0CqkOc4q9oUmW1yo/edit?usp=sharing"",""เชียงราย!J554"")"),0)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IFERROR(__xludf.DUMMYFUNCTION("IMPORTRANGE(""https://docs.google.com/spreadsheets/d/11923uPwbBZFjjGgGUA6NLw09EwE0CqkOc4q9oUmW1yo/edit?usp=sharing"",""เชียงราย!J555"")"),0)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5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IFERROR(__xludf.DUMMYFUNCTION("IMPORTRANGE(""https://docs.google.com/spreadsheets/d/11923uPwbBZFjjGgGUA6NLw09EwE0CqkOc4q9oUmW1yo/edit?usp=sharing"",""เชียงราย!J556"")"),0)</f>
        <v>0</v>
      </c>
      <c r="K661" s="536"/>
      <c r="L661" s="521">
        <f ca="1">IFERROR(__xludf.DUMMYFUNCTION("IMPORTRANGE(""https://docs.google.com/spreadsheets/d/11923uPwbBZFjjGgGUA6NLw09EwE0CqkOc4q9oUmW1yo/edit?usp=sharing"",""เชียงราย!L556"")"),0)</f>
        <v>0</v>
      </c>
      <c r="M661" s="520"/>
      <c r="N661" s="537">
        <f ca="1">IFERROR(__xludf.DUMMYFUNCTION("IMPORTRANGE(""https://docs.google.com/spreadsheets/d/11923uPwbBZFjjGgGUA6NLw09EwE0CqkOc4q9oUmW1yo/edit?usp=sharing"",""เชียงราย!M556"")"),0)</f>
        <v>0</v>
      </c>
      <c r="O661" s="536">
        <f ca="1">IF(L661&gt;0,N661*100/L661,0)</f>
        <v>0</v>
      </c>
      <c r="P661" s="536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IFERROR(__xludf.DUMMYFUNCTION("IMPORTRANGE(""https://docs.google.com/spreadsheets/d/11923uPwbBZFjjGgGUA6NLw09EwE0CqkOc4q9oUmW1yo/edit?usp=sharing"",""เชียงราย!J557"")"),0)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IFERROR(__xludf.DUMMYFUNCTION("IMPORTRANGE(""https://docs.google.com/spreadsheets/d/11923uPwbBZFjjGgGUA6NLw09EwE0CqkOc4q9oUmW1yo/edit?usp=sharing"",""เชียงราย!I558"")"),0)</f>
        <v>0</v>
      </c>
      <c r="J663" s="535">
        <f ca="1">IFERROR(__xludf.DUMMYFUNCTION("IMPORTRANGE(""https://docs.google.com/spreadsheets/d/11923uPwbBZFjjGgGUA6NLw09EwE0CqkOc4q9oUmW1yo/edit?usp=sharing"",""เชียงราย!J558"")"),0)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5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IFERROR(__xludf.DUMMYFUNCTION("IMPORTRANGE(""https://docs.google.com/spreadsheets/d/11923uPwbBZFjjGgGUA6NLw09EwE0CqkOc4q9oUmW1yo/edit?usp=sharing"",""เชียงราย!I560"")"),0)</f>
        <v>0</v>
      </c>
      <c r="J665" s="535">
        <f ca="1">IFERROR(__xludf.DUMMYFUNCTION("IMPORTRANGE(""https://docs.google.com/spreadsheets/d/11923uPwbBZFjjGgGUA6NLw09EwE0CqkOc4q9oUmW1yo/edit?usp=sharing"",""เชียงราย!J560"")"),0)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IFERROR(__xludf.DUMMYFUNCTION("IMPORTRANGE(""https://docs.google.com/spreadsheets/d/11923uPwbBZFjjGgGUA6NLw09EwE0CqkOc4q9oUmW1yo/edit?usp=sharing"",""เชียงราย!L560"")"),0)</f>
        <v>0</v>
      </c>
      <c r="M665" s="520"/>
      <c r="N665" s="537">
        <f ca="1">IFERROR(__xludf.DUMMYFUNCTION("IMPORTRANGE(""https://docs.google.com/spreadsheets/d/11923uPwbBZFjjGgGUA6NLw09EwE0CqkOc4q9oUmW1yo/edit?usp=sharing"",""เชียงราย!M560"")"),0)</f>
        <v>0</v>
      </c>
      <c r="O665" s="536">
        <f ca="1">IF(L665&gt;0,N665*100/L665,0)</f>
        <v>0</v>
      </c>
      <c r="P665" s="536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IFERROR(__xludf.DUMMYFUNCTION("IMPORTRANGE(""https://docs.google.com/spreadsheets/d/11923uPwbBZFjjGgGUA6NLw09EwE0CqkOc4q9oUmW1yo/edit?usp=sharing"",""เชียงราย!J561"")"),0)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IFERROR(__xludf.DUMMYFUNCTION("IMPORTRANGE(""https://docs.google.com/spreadsheets/d/11923uPwbBZFjjGgGUA6NLw09EwE0CqkOc4q9oUmW1yo/edit?usp=sharing"",""เชียงราย!J562"")"),0)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IFERROR(__xludf.DUMMYFUNCTION("IMPORTRANGE(""https://docs.google.com/spreadsheets/d/11923uPwbBZFjjGgGUA6NLw09EwE0CqkOc4q9oUmW1yo/edit?usp=sharing"",""เชียงราย!I563"")"),0)</f>
        <v>0</v>
      </c>
      <c r="J668" s="535">
        <f ca="1">IFERROR(__xludf.DUMMYFUNCTION("IMPORTRANGE(""https://docs.google.com/spreadsheets/d/11923uPwbBZFjjGgGUA6NLw09EwE0CqkOc4q9oUmW1yo/edit?usp=sharing"",""เชียงราย!J563"")"),0)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IFERROR(__xludf.DUMMYFUNCTION("IMPORTRANGE(""https://docs.google.com/spreadsheets/d/11923uPwbBZFjjGgGUA6NLw09EwE0CqkOc4q9oUmW1yo/edit?usp=sharing"",""เชียงราย!L563"")"),0)</f>
        <v>0</v>
      </c>
      <c r="M668" s="520"/>
      <c r="N668" s="537">
        <f ca="1">IFERROR(__xludf.DUMMYFUNCTION("IMPORTRANGE(""https://docs.google.com/spreadsheets/d/11923uPwbBZFjjGgGUA6NLw09EwE0CqkOc4q9oUmW1yo/edit?usp=sharing"",""เชียงราย!M563"")"),0)</f>
        <v>0</v>
      </c>
      <c r="O668" s="536">
        <f ca="1">IF(L668&gt;0,N668*100/L668,0)</f>
        <v>0</v>
      </c>
      <c r="P668" s="536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IFERROR(__xludf.DUMMYFUNCTION("IMPORTRANGE(""https://docs.google.com/spreadsheets/d/11923uPwbBZFjjGgGUA6NLw09EwE0CqkOc4q9oUmW1yo/edit?usp=sharing"",""เชียงราย!J564"")"),0)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IFERROR(__xludf.DUMMYFUNCTION("IMPORTRANGE(""https://docs.google.com/spreadsheets/d/11923uPwbBZFjjGgGUA6NLw09EwE0CqkOc4q9oUmW1yo/edit?usp=sharing"",""เชียงราย!J565"")"),0)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5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IFERROR(__xludf.DUMMYFUNCTION("IMPORTRANGE(""https://docs.google.com/spreadsheets/d/11923uPwbBZFjjGgGUA6NLw09EwE0CqkOc4q9oUmW1yo/edit?usp=sharing"",""เชียงราย!I566"")"),0)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IFERROR(__xludf.DUMMYFUNCTION("IMPORTRANGE(""https://docs.google.com/spreadsheets/d/11923uPwbBZFjjGgGUA6NLw09EwE0CqkOc4q9oUmW1yo/edit?usp=sharing"",""เชียงราย!L566"")"),0)</f>
        <v>0</v>
      </c>
      <c r="M671" s="520"/>
      <c r="N671" s="537">
        <f ca="1">IFERROR(__xludf.DUMMYFUNCTION("IMPORTRANGE(""https://docs.google.com/spreadsheets/d/11923uPwbBZFjjGgGUA6NLw09EwE0CqkOc4q9oUmW1yo/edit?usp=sharing"",""เชียงราย!M566"")"),0)</f>
        <v>0</v>
      </c>
      <c r="O671" s="536">
        <f ca="1">IF(L671&gt;0,N671*100/L671,0)</f>
        <v>0</v>
      </c>
      <c r="P671" s="536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IFERROR(__xludf.DUMMYFUNCTION("IMPORTRANGE(""https://docs.google.com/spreadsheets/d/11923uPwbBZFjjGgGUA6NLw09EwE0CqkOc4q9oUmW1yo/edit?usp=sharing"",""เชียงราย!J567"")"),0)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IFERROR(__xludf.DUMMYFUNCTION("IMPORTRANGE(""https://docs.google.com/spreadsheets/d/11923uPwbBZFjjGgGUA6NLw09EwE0CqkOc4q9oUmW1yo/edit?usp=sharing"",""เชียงราย!J568"")"),0)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IFERROR(__xludf.DUMMYFUNCTION("IMPORTRANGE(""https://docs.google.com/spreadsheets/d/11923uPwbBZFjjGgGUA6NLw09EwE0CqkOc4q9oUmW1yo/edit?usp=sharing"",""เชียงราย!J569"")"),0)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IFERROR(__xludf.DUMMYFUNCTION("IMPORTRANGE(""https://docs.google.com/spreadsheets/d/11923uPwbBZFjjGgGUA6NLw09EwE0CqkOc4q9oUmW1yo/edit?usp=sharing"",""เชียงราย!J570"")"),0)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IFERROR(__xludf.DUMMYFUNCTION("IMPORTRANGE(""https://docs.google.com/spreadsheets/d/11923uPwbBZFjjGgGUA6NLw09EwE0CqkOc4q9oUmW1yo/edit?usp=sharing"",""เชียงราย!J571"")"),0)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5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IFERROR(__xludf.DUMMYFUNCTION("IMPORTRANGE(""https://docs.google.com/spreadsheets/d/11923uPwbBZFjjGgGUA6NLw09EwE0CqkOc4q9oUmW1yo/edit?usp=sharing"",""เชียงราย!J572"")"),0)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61">
    <mergeCell ref="A1:P1"/>
    <mergeCell ref="A2:P2"/>
    <mergeCell ref="A3:P3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35">
      <c r="A2" s="577" t="s">
        <v>264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3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7355684</v>
      </c>
      <c r="M8" s="23">
        <f t="shared" ca="1" si="0"/>
        <v>3759465</v>
      </c>
      <c r="N8" s="23">
        <f t="shared" ca="1" si="0"/>
        <v>4055475.7499999991</v>
      </c>
      <c r="O8" s="22">
        <f t="shared" ref="O8:O16" ca="1" si="1">IF(L8&gt;0,N8*100/L8,0)</f>
        <v>55.133903930620171</v>
      </c>
      <c r="P8" s="22">
        <f t="shared" ref="P8:P16" ca="1" si="2">IF(M8&gt;0,N8*100/M8,0)</f>
        <v>107.87374666342149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7355684</v>
      </c>
      <c r="M10" s="30">
        <f t="shared" ca="1" si="4"/>
        <v>3759465</v>
      </c>
      <c r="N10" s="30">
        <f t="shared" ca="1" si="4"/>
        <v>4055475.7499999991</v>
      </c>
      <c r="O10" s="29">
        <f t="shared" ca="1" si="1"/>
        <v>55.133903930620171</v>
      </c>
      <c r="P10" s="29">
        <f t="shared" ca="1" si="2"/>
        <v>107.87374666342149</v>
      </c>
    </row>
    <row r="11" spans="1:16" ht="21.75" customHeight="1" x14ac:dyDescent="0.45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7044284</v>
      </c>
      <c r="M12" s="39">
        <f t="shared" ca="1" si="6"/>
        <v>3448065</v>
      </c>
      <c r="N12" s="39">
        <f t="shared" ca="1" si="6"/>
        <v>3744075.7499999991</v>
      </c>
      <c r="O12" s="39">
        <f t="shared" ca="1" si="1"/>
        <v>53.150550857972206</v>
      </c>
      <c r="P12" s="39">
        <f t="shared" ca="1" si="2"/>
        <v>108.58483671276495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2412000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4632284</v>
      </c>
      <c r="M14" s="39">
        <f t="shared" si="8"/>
        <v>0</v>
      </c>
      <c r="N14" s="39">
        <f t="shared" ca="1" si="8"/>
        <v>1103754.3299999989</v>
      </c>
      <c r="O14" s="39">
        <f t="shared" ca="1" si="1"/>
        <v>23.827432212705418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311400</v>
      </c>
      <c r="M16" s="39">
        <f t="shared" ca="1" si="10"/>
        <v>311400</v>
      </c>
      <c r="N16" s="39">
        <f t="shared" ca="1" si="10"/>
        <v>311400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4736305</v>
      </c>
      <c r="M18" s="23">
        <f t="shared" ca="1" si="11"/>
        <v>3759465</v>
      </c>
      <c r="N18" s="23">
        <f t="shared" ca="1" si="11"/>
        <v>2951721.4200000004</v>
      </c>
      <c r="O18" s="22">
        <f t="shared" ref="O18:O20" ca="1" si="12">IF(L18&gt;0,N18*100/L18,0)</f>
        <v>62.321185396633041</v>
      </c>
      <c r="P18" s="22">
        <f t="shared" ref="P18:P26" ca="1" si="13">IF(M18&gt;0,N18*100/M18,0)</f>
        <v>78.51440085224894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4736305</v>
      </c>
      <c r="M20" s="30">
        <f t="shared" ca="1" si="15"/>
        <v>3759465</v>
      </c>
      <c r="N20" s="30">
        <f t="shared" ca="1" si="15"/>
        <v>2951721.4200000004</v>
      </c>
      <c r="O20" s="29">
        <f t="shared" ca="1" si="12"/>
        <v>62.321185396633041</v>
      </c>
      <c r="P20" s="29">
        <f t="shared" ca="1" si="13"/>
        <v>78.51440085224894</v>
      </c>
    </row>
    <row r="21" spans="1:16" ht="21.75" customHeight="1" x14ac:dyDescent="0.45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4424905</v>
      </c>
      <c r="M22" s="42">
        <f t="shared" ca="1" si="18"/>
        <v>3448065</v>
      </c>
      <c r="N22" s="39">
        <f t="shared" ca="1" si="18"/>
        <v>2640321.4200000004</v>
      </c>
      <c r="O22" s="39">
        <f t="shared" ca="1" si="17"/>
        <v>59.66956171940415</v>
      </c>
      <c r="P22" s="39">
        <f t="shared" ca="1" si="13"/>
        <v>76.574003680325063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2412000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2012905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311400</v>
      </c>
      <c r="M26" s="50">
        <f t="shared" ca="1" si="22"/>
        <v>311400</v>
      </c>
      <c r="N26" s="50">
        <f t="shared" ca="1" si="22"/>
        <v>311400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2619379</v>
      </c>
      <c r="M28" s="23">
        <f t="shared" si="23"/>
        <v>0</v>
      </c>
      <c r="N28" s="23">
        <f t="shared" ca="1" si="23"/>
        <v>1103754.3299999989</v>
      </c>
      <c r="O28" s="22">
        <f t="shared" ref="O28:O30" ca="1" si="24">IF(L28&gt;0,N28*100/L28,0)</f>
        <v>42.138015537270434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2619379</v>
      </c>
      <c r="M30" s="30">
        <f t="shared" si="27"/>
        <v>0</v>
      </c>
      <c r="N30" s="30">
        <f t="shared" ca="1" si="27"/>
        <v>1103754.3299999989</v>
      </c>
      <c r="O30" s="29">
        <f t="shared" ca="1" si="24"/>
        <v>42.138015537270434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2619379</v>
      </c>
      <c r="M32" s="39">
        <f t="shared" si="30"/>
        <v>0</v>
      </c>
      <c r="N32" s="39">
        <f t="shared" ca="1" si="30"/>
        <v>1103754.3299999989</v>
      </c>
      <c r="O32" s="39">
        <f t="shared" ca="1" si="29"/>
        <v>42.138015537270434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2619379</v>
      </c>
      <c r="M34" s="39">
        <f t="shared" si="32"/>
        <v>0</v>
      </c>
      <c r="N34" s="39">
        <f t="shared" ca="1" si="32"/>
        <v>1103754.3299999989</v>
      </c>
      <c r="O34" s="39">
        <f t="shared" ca="1" si="29"/>
        <v>42.138015537270434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4736305</v>
      </c>
      <c r="M37" s="55">
        <f t="shared" ca="1" si="33"/>
        <v>3759465</v>
      </c>
      <c r="N37" s="55">
        <f t="shared" ca="1" si="33"/>
        <v>2951721.4200000004</v>
      </c>
      <c r="O37" s="56">
        <f t="shared" ca="1" si="29"/>
        <v>62.321185396633041</v>
      </c>
      <c r="P37" s="56">
        <f t="shared" ca="1" si="25"/>
        <v>78.51440085224894</v>
      </c>
    </row>
    <row r="38" spans="1:16" ht="21.75" customHeight="1" x14ac:dyDescent="0.45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885000</v>
      </c>
      <c r="M41" s="79">
        <f t="shared" ca="1" si="34"/>
        <v>707800</v>
      </c>
      <c r="N41" s="79">
        <f t="shared" ca="1" si="34"/>
        <v>673048.54</v>
      </c>
      <c r="O41" s="78">
        <f t="shared" ref="O41:O43" ca="1" si="35">IF(L41&gt;0,N41*100/L41,0)</f>
        <v>76.050682485875711</v>
      </c>
      <c r="P41" s="78">
        <f t="shared" ref="P41:P43" ca="1" si="36">IF(M41&gt;0,N41*100/M41,0)</f>
        <v>95.090214749929359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885000</v>
      </c>
      <c r="M43" s="79">
        <f t="shared" ca="1" si="38"/>
        <v>707800</v>
      </c>
      <c r="N43" s="79">
        <f t="shared" ca="1" si="38"/>
        <v>673048.54</v>
      </c>
      <c r="O43" s="78">
        <f t="shared" ca="1" si="35"/>
        <v>76.050682485875711</v>
      </c>
      <c r="P43" s="78">
        <f t="shared" ca="1" si="36"/>
        <v>95.090214749929359</v>
      </c>
    </row>
    <row r="44" spans="1:16" ht="21.75" customHeight="1" x14ac:dyDescent="0.45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709000</v>
      </c>
      <c r="M45" s="50">
        <f ca="1">IFERROR(__xludf.DUMMYFUNCTION("IMPORTRANGE(""https://docs.google.com/spreadsheets/d/1Yj_ptqi66GCucihVvJfMjLAmec39IyEx_6qawtMGysU/edit?usp=sharing"",""สบก!Q22"")"),531800)</f>
        <v>531800</v>
      </c>
      <c r="N45" s="50">
        <f ca="1">IFERROR(__xludf.DUMMYFUNCTION("IMPORTRANGE(""https://docs.google.com/spreadsheets/d/1Yj_ptqi66GCucihVvJfMjLAmec39IyEx_6qawtMGysU/edit?usp=sharing"",""สบก!R22"")"),497048.54)</f>
        <v>497048.54</v>
      </c>
      <c r="O45" s="39">
        <f ca="1">IF(L45&gt;0,N45*100/L45,0)</f>
        <v>70.105576868829331</v>
      </c>
      <c r="P45" s="39">
        <f ca="1">IF(M45&gt;0,N45*100/M45,0)</f>
        <v>93.465314027830004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IFERROR(__xludf.DUMMYFUNCTION("IMPORTRANGE(""https://docs.google.com/spreadsheets/d/1Yj_ptqi66GCucihVvJfMjLAmec39IyEx_6qawtMGysU/edit?usp=sharing"",""สบก!M22"")"),709000)</f>
        <v>709000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IFERROR(__xludf.DUMMYFUNCTION("IMPORTRANGE(""https://docs.google.com/spreadsheets/d/1Yj_ptqi66GCucihVvJfMjLAmec39IyEx_6qawtMGysU/edit?usp=sharing"",""สบก!N22"")"),0)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IFERROR(__xludf.DUMMYFUNCTION("IMPORTRANGE(""https://docs.google.com/spreadsheets/d/1Yj_ptqi66GCucihVvJfMjLAmec39IyEx_6qawtMGysU/edit?usp=sharing"",""สบก!O22"")"),176000)</f>
        <v>176000</v>
      </c>
      <c r="M49" s="50">
        <f ca="1">L49</f>
        <v>176000</v>
      </c>
      <c r="N49" s="50">
        <f ca="1">IFERROR(__xludf.DUMMYFUNCTION("IMPORTRANGE(""https://docs.google.com/spreadsheets/d/1Yj_ptqi66GCucihVvJfMjLAmec39IyEx_6qawtMGysU/edit?usp=sharing"",""สบก!S22"")"),176000)</f>
        <v>176000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900000</v>
      </c>
      <c r="M53" s="121">
        <f t="shared" ca="1" si="39"/>
        <v>682230</v>
      </c>
      <c r="N53" s="121">
        <f t="shared" ca="1" si="39"/>
        <v>578132</v>
      </c>
      <c r="O53" s="120">
        <f t="shared" ref="O53:O55" ca="1" si="40">IF(L53&gt;0,N53*100/L53,0)</f>
        <v>64.236888888888885</v>
      </c>
      <c r="P53" s="120">
        <f t="shared" ref="P53:P55" ca="1" si="41">IF(M53&gt;0,N53*100/M53,0)</f>
        <v>84.74150946161852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900000</v>
      </c>
      <c r="M55" s="121">
        <f t="shared" ca="1" si="43"/>
        <v>682230</v>
      </c>
      <c r="N55" s="121">
        <f t="shared" ca="1" si="43"/>
        <v>578132</v>
      </c>
      <c r="O55" s="120">
        <f t="shared" ca="1" si="40"/>
        <v>64.236888888888885</v>
      </c>
      <c r="P55" s="120">
        <f t="shared" ca="1" si="41"/>
        <v>84.74150946161852</v>
      </c>
    </row>
    <row r="56" spans="1:16" ht="21.75" customHeight="1" x14ac:dyDescent="0.45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900000</v>
      </c>
      <c r="M57" s="50">
        <f ca="1">IFERROR(__xludf.DUMMYFUNCTION("IMPORTRANGE(""https://docs.google.com/spreadsheets/d/1Yj_ptqi66GCucihVvJfMjLAmec39IyEx_6qawtMGysU/edit?usp=sharing"",""สบก!Z22"")"),682230)</f>
        <v>682230</v>
      </c>
      <c r="N57" s="50">
        <f ca="1">IFERROR(__xludf.DUMMYFUNCTION("IMPORTRANGE(""https://docs.google.com/spreadsheets/d/1Yj_ptqi66GCucihVvJfMjLAmec39IyEx_6qawtMGysU/edit?usp=sharing"",""สบก!AA22"")"),578132)</f>
        <v>578132</v>
      </c>
      <c r="O57" s="39">
        <f ca="1">IF(L57&gt;0,N57*100/L57,0)</f>
        <v>64.236888888888885</v>
      </c>
      <c r="P57" s="39">
        <f ca="1">IF(M57&gt;0,N57*100/M57,0)</f>
        <v>84.74150946161852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IFERROR(__xludf.DUMMYFUNCTION("IMPORTRANGE(""https://docs.google.com/spreadsheets/d/1Yj_ptqi66GCucihVvJfMjLAmec39IyEx_6qawtMGysU/edit?usp=sharing"",""สบก!V22"")"),900000)</f>
        <v>900000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IFERROR(__xludf.DUMMYFUNCTION("IMPORTRANGE(""https://docs.google.com/spreadsheets/d/1Yj_ptqi66GCucihVvJfMjLAmec39IyEx_6qawtMGysU/edit?usp=sharing"",""สบก!W22"")"),0)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IFERROR(__xludf.DUMMYFUNCTION("IMPORTRANGE(""https://docs.google.com/spreadsheets/d/1Yj_ptqi66GCucihVvJfMjLAmec39IyEx_6qawtMGysU/edit?usp=sharing"",""สบก!X22"")"),0)</f>
        <v>0</v>
      </c>
      <c r="M61" s="50"/>
      <c r="N61" s="50">
        <f ca="1">IFERROR(__xludf.DUMMYFUNCTION("IMPORTRANGE(""https://docs.google.com/spreadsheets/d/1Yj_ptqi66GCucihVvJfMjLAmec39IyEx_6qawtMGysU/edit?usp=sharing"",""สบก!AB22"")"),0)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IFERROR(__xludf.DUMMYFUNCTION("IMPORTRANGE(""https://docs.google.com/spreadsheets/d/11923uPwbBZFjjGgGUA6NLw09EwE0CqkOc4q9oUmW1yo/edit?usp=sharing"",""เชียงใหม่!I9"")"),1)</f>
        <v>1</v>
      </c>
      <c r="J64" s="142">
        <f ca="1">IFERROR(__xludf.DUMMYFUNCTION("IMPORTRANGE(""https://docs.google.com/spreadsheets/d/11923uPwbBZFjjGgGUA6NLw09EwE0CqkOc4q9oUmW1yo/edit?usp=sharing"",""เชียงใหม่!J9"")"),1)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IFERROR(__xludf.DUMMYFUNCTION("IMPORTRANGE(""https://docs.google.com/spreadsheets/d/11923uPwbBZFjjGgGUA6NLw09EwE0CqkOc4q9oUmW1yo/edit?usp=sharing"",""เชียงใหม่!I10"")"),50)</f>
        <v>50</v>
      </c>
      <c r="J65" s="142">
        <f ca="1">IFERROR(__xludf.DUMMYFUNCTION("IMPORTRANGE(""https://docs.google.com/spreadsheets/d/11923uPwbBZFjjGgGUA6NLw09EwE0CqkOc4q9oUmW1yo/edit?usp=sharing"",""เชียงใหม่!J10"")"),50)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486000</v>
      </c>
      <c r="M66" s="152">
        <f t="shared" ca="1" si="45"/>
        <v>413620</v>
      </c>
      <c r="N66" s="152">
        <f t="shared" ca="1" si="45"/>
        <v>314228.27</v>
      </c>
      <c r="O66" s="151">
        <f t="shared" ref="O66:O68" ca="1" si="46">IF(L66&gt;0,N66*100/L66,0)</f>
        <v>64.656022633744854</v>
      </c>
      <c r="P66" s="151">
        <f t="shared" ref="P66:P68" ca="1" si="47">IF(M66&gt;0,N66*100/M66,0)</f>
        <v>75.970279483583965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486000</v>
      </c>
      <c r="M68" s="88">
        <f t="shared" ca="1" si="49"/>
        <v>413620</v>
      </c>
      <c r="N68" s="88">
        <f t="shared" ca="1" si="49"/>
        <v>314228.27</v>
      </c>
      <c r="O68" s="156">
        <f t="shared" ca="1" si="46"/>
        <v>64.656022633744854</v>
      </c>
      <c r="P68" s="156">
        <f t="shared" ca="1" si="47"/>
        <v>75.970279483583965</v>
      </c>
    </row>
    <row r="69" spans="1:16" ht="21.75" customHeight="1" x14ac:dyDescent="0.45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486000</v>
      </c>
      <c r="M70" s="167">
        <f ca="1">IFERROR(__xludf.DUMMYFUNCTION("IMPORTRANGE(""https://docs.google.com/spreadsheets/d/1Yj_ptqi66GCucihVvJfMjLAmec39IyEx_6qawtMGysU/edit?usp=sharing"",""สบก!AI22"")"),413620)</f>
        <v>413620</v>
      </c>
      <c r="N70" s="168">
        <f ca="1">IFERROR(__xludf.DUMMYFUNCTION("IMPORTRANGE(""https://docs.google.com/spreadsheets/d/1Yj_ptqi66GCucihVvJfMjLAmec39IyEx_6qawtMGysU/edit?usp=sharing"",""สบก!AJ22"")"),314228.27)</f>
        <v>314228.27</v>
      </c>
      <c r="O70" s="168">
        <f ca="1">IF(L70&gt;0,N70*100/L70,0)</f>
        <v>64.656022633744854</v>
      </c>
      <c r="P70" s="168">
        <f ca="1">IF(M70&gt;0,N70*100/M70,0)</f>
        <v>75.970279483583965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IFERROR(__xludf.DUMMYFUNCTION("IMPORTRANGE(""https://docs.google.com/spreadsheets/d/1Yj_ptqi66GCucihVvJfMjLAmec39IyEx_6qawtMGysU/edit?usp=sharing"",""สบก!AE22"")"),0)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IFERROR(__xludf.DUMMYFUNCTION("IMPORTRANGE(""https://docs.google.com/spreadsheets/d/1Yj_ptqi66GCucihVvJfMjLAmec39IyEx_6qawtMGysU/edit?usp=sharing"",""สบก!AF22"")"),486000)</f>
        <v>486000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IFERROR(__xludf.DUMMYFUNCTION("IMPORTRANGE(""https://docs.google.com/spreadsheets/d/1Yj_ptqi66GCucihVvJfMjLAmec39IyEx_6qawtMGysU/edit?usp=sharing"",""สบก!AG22"")"),0)</f>
        <v>0</v>
      </c>
      <c r="M74" s="50"/>
      <c r="N74" s="50">
        <f ca="1">IFERROR(__xludf.DUMMYFUNCTION("IMPORTRANGE(""https://docs.google.com/spreadsheets/d/1Yj_ptqi66GCucihVvJfMjLAmec39IyEx_6qawtMGysU/edit?usp=sharing"",""สบก!AK22"")"),0)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IFERROR(__xludf.DUMMYFUNCTION("IMPORTRANGE(""https://docs.google.com/spreadsheets/d/11923uPwbBZFjjGgGUA6NLw09EwE0CqkOc4q9oUmW1yo/edit?usp=sharing"",""เชียงใหม่!J16"")"),0)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IFERROR(__xludf.DUMMYFUNCTION("IMPORTRANGE(""https://docs.google.com/spreadsheets/d/11923uPwbBZFjjGgGUA6NLw09EwE0CqkOc4q9oUmW1yo/edit?usp=sharing"",""เชียงใหม่!J17"")"),1)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IFERROR(__xludf.DUMMYFUNCTION("IMPORTRANGE(""https://docs.google.com/spreadsheets/d/11923uPwbBZFjjGgGUA6NLw09EwE0CqkOc4q9oUmW1yo/edit?usp=sharing"",""เชียงใหม่!J18"")"),1)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IFERROR(__xludf.DUMMYFUNCTION("IMPORTRANGE(""https://docs.google.com/spreadsheets/d/11923uPwbBZFjjGgGUA6NLw09EwE0CqkOc4q9oUmW1yo/edit?usp=sharing"",""เชียงใหม่!J19"")"),1)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IFERROR(__xludf.DUMMYFUNCTION("IMPORTRANGE(""https://docs.google.com/spreadsheets/d/11923uPwbBZFjjGgGUA6NLw09EwE0CqkOc4q9oUmW1yo/edit?usp=sharing"",""เชียงใหม่!I20"")"),1)</f>
        <v>1</v>
      </c>
      <c r="J80" s="200">
        <f ca="1">IFERROR(__xludf.DUMMYFUNCTION("IMPORTRANGE(""https://docs.google.com/spreadsheets/d/11923uPwbBZFjjGgGUA6NLw09EwE0CqkOc4q9oUmW1yo/edit?usp=sharing"",""เชียงใหม่!J20"")"),1)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IFERROR(__xludf.DUMMYFUNCTION("IMPORTRANGE(""https://docs.google.com/spreadsheets/d/11923uPwbBZFjjGgGUA6NLw09EwE0CqkOc4q9oUmW1yo/edit?usp=sharing"",""เชียงใหม่!I21"")"),50)</f>
        <v>50</v>
      </c>
      <c r="J81" s="200">
        <f ca="1">IFERROR(__xludf.DUMMYFUNCTION("IMPORTRANGE(""https://docs.google.com/spreadsheets/d/11923uPwbBZFjjGgGUA6NLw09EwE0CqkOc4q9oUmW1yo/edit?usp=sharing"",""เชียงใหม่!J21"")"),50)</f>
        <v>50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IFERROR(__xludf.DUMMYFUNCTION("IMPORTRANGE(""https://docs.google.com/spreadsheets/d/11923uPwbBZFjjGgGUA6NLw09EwE0CqkOc4q9oUmW1yo/edit?usp=sharing"",""เชียงใหม่!I22"")"),0)</f>
        <v>0</v>
      </c>
      <c r="J82" s="203">
        <f ca="1">IFERROR(__xludf.DUMMYFUNCTION("IMPORTRANGE(""https://docs.google.com/spreadsheets/d/11923uPwbBZFjjGgGUA6NLw09EwE0CqkOc4q9oUmW1yo/edit?usp=sharing"",""เชียงใหม่!J22"")"),0)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IFERROR(__xludf.DUMMYFUNCTION("IMPORTRANGE(""https://docs.google.com/spreadsheets/d/11923uPwbBZFjjGgGUA6NLw09EwE0CqkOc4q9oUmW1yo/edit?usp=sharing"",""เชียงใหม่!I23"")"),0)</f>
        <v>0</v>
      </c>
      <c r="J83" s="203">
        <f ca="1">IFERROR(__xludf.DUMMYFUNCTION("IMPORTRANGE(""https://docs.google.com/spreadsheets/d/11923uPwbBZFjjGgGUA6NLw09EwE0CqkOc4q9oUmW1yo/edit?usp=sharing"",""เชียงใหม่!J23"")"),0)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IFERROR(__xludf.DUMMYFUNCTION("IMPORTRANGE(""https://docs.google.com/spreadsheets/d/11923uPwbBZFjjGgGUA6NLw09EwE0CqkOc4q9oUmW1yo/edit?usp=sharing"",""เชียงใหม่!I24"")"),0)</f>
        <v>0</v>
      </c>
      <c r="J84" s="188">
        <f ca="1">IFERROR(__xludf.DUMMYFUNCTION("IMPORTRANGE(""https://docs.google.com/spreadsheets/d/11923uPwbBZFjjGgGUA6NLw09EwE0CqkOc4q9oUmW1yo/edit?usp=sharing"",""เชียงใหม่!J24"")"),0)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IFERROR(__xludf.DUMMYFUNCTION("IMPORTRANGE(""https://docs.google.com/spreadsheets/d/11923uPwbBZFjjGgGUA6NLw09EwE0CqkOc4q9oUmW1yo/edit?usp=sharing"",""เชียงใหม่!I25"")"),0)</f>
        <v>0</v>
      </c>
      <c r="J85" s="188">
        <f ca="1">IFERROR(__xludf.DUMMYFUNCTION("IMPORTRANGE(""https://docs.google.com/spreadsheets/d/11923uPwbBZFjjGgGUA6NLw09EwE0CqkOc4q9oUmW1yo/edit?usp=sharing"",""เชียงใหม่!J25"")"),0)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IFERROR(__xludf.DUMMYFUNCTION("IMPORTRANGE(""https://docs.google.com/spreadsheets/d/11923uPwbBZFjjGgGUA6NLw09EwE0CqkOc4q9oUmW1yo/edit?usp=sharing"",""เชียงใหม่!I26"")"),1)</f>
        <v>1</v>
      </c>
      <c r="J86" s="203">
        <f ca="1">IFERROR(__xludf.DUMMYFUNCTION("IMPORTRANGE(""https://docs.google.com/spreadsheets/d/11923uPwbBZFjjGgGUA6NLw09EwE0CqkOc4q9oUmW1yo/edit?usp=sharing"",""เชียงใหม่!J26"")"),1)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IFERROR(__xludf.DUMMYFUNCTION("IMPORTRANGE(""https://docs.google.com/spreadsheets/d/11923uPwbBZFjjGgGUA6NLw09EwE0CqkOc4q9oUmW1yo/edit?usp=sharing"",""เชียงใหม่!I27"")"),50)</f>
        <v>50</v>
      </c>
      <c r="J87" s="203">
        <f ca="1">IFERROR(__xludf.DUMMYFUNCTION("IMPORTRANGE(""https://docs.google.com/spreadsheets/d/11923uPwbBZFjjGgGUA6NLw09EwE0CqkOc4q9oUmW1yo/edit?usp=sharing"",""เชียงใหม่!J27"")"),50)</f>
        <v>50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IFERROR(__xludf.DUMMYFUNCTION("IMPORTRANGE(""https://docs.google.com/spreadsheets/d/11923uPwbBZFjjGgGUA6NLw09EwE0CqkOc4q9oUmW1yo/edit?usp=sharing"",""เชียงใหม่!I28"")"),1)</f>
        <v>1</v>
      </c>
      <c r="J88" s="203">
        <f ca="1">IFERROR(__xludf.DUMMYFUNCTION("IMPORTRANGE(""https://docs.google.com/spreadsheets/d/11923uPwbBZFjjGgGUA6NLw09EwE0CqkOc4q9oUmW1yo/edit?usp=sharing"",""เชียงใหม่!J28"")"),1)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IFERROR(__xludf.DUMMYFUNCTION("IMPORTRANGE(""https://docs.google.com/spreadsheets/d/11923uPwbBZFjjGgGUA6NLw09EwE0CqkOc4q9oUmW1yo/edit?usp=sharing"",""เชียงใหม่!J29"")"),0)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IFERROR(__xludf.DUMMYFUNCTION("IMPORTRANGE(""https://docs.google.com/spreadsheets/d/11923uPwbBZFjjGgGUA6NLw09EwE0CqkOc4q9oUmW1yo/edit?usp=sharing"",""เชียงใหม่!J30"")"),0)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IFERROR(__xludf.DUMMYFUNCTION("IMPORTRANGE(""https://docs.google.com/spreadsheets/d/11923uPwbBZFjjGgGUA6NLw09EwE0CqkOc4q9oUmW1yo/edit?usp=sharing"",""เชียงใหม่!I32"")"),4)</f>
        <v>4</v>
      </c>
      <c r="J92" s="142">
        <f ca="1">IFERROR(__xludf.DUMMYFUNCTION("IMPORTRANGE(""https://docs.google.com/spreadsheets/d/11923uPwbBZFjjGgGUA6NLw09EwE0CqkOc4q9oUmW1yo/edit?usp=sharing"",""เชียงใหม่!J32"")"),4)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IFERROR(__xludf.DUMMYFUNCTION("IMPORTRANGE(""https://docs.google.com/spreadsheets/d/11923uPwbBZFjjGgGUA6NLw09EwE0CqkOc4q9oUmW1yo/edit?usp=sharing"",""เชียงใหม่!I33"")"),1)</f>
        <v>1</v>
      </c>
      <c r="J93" s="142">
        <f ca="1">IFERROR(__xludf.DUMMYFUNCTION("IMPORTRANGE(""https://docs.google.com/spreadsheets/d/11923uPwbBZFjjGgGUA6NLw09EwE0CqkOc4q9oUmW1yo/edit?usp=sharing"",""เชียงใหม่!J33"")"),1)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152064</v>
      </c>
      <c r="O94" s="151">
        <f t="shared" ref="O94:O96" ca="1" si="53">IF(L94&gt;0,N94*100/L94,0)</f>
        <v>70.892307692307696</v>
      </c>
      <c r="P94" s="151">
        <f t="shared" ref="P94:P96" ca="1" si="54">IF(M94&gt;0,N94*100/M94,0)</f>
        <v>78.200097708981517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194455</v>
      </c>
      <c r="N96" s="88">
        <f t="shared" ca="1" si="56"/>
        <v>152064</v>
      </c>
      <c r="O96" s="156">
        <f t="shared" ca="1" si="53"/>
        <v>70.892307692307696</v>
      </c>
      <c r="P96" s="156">
        <f t="shared" ca="1" si="54"/>
        <v>78.200097708981517</v>
      </c>
    </row>
    <row r="97" spans="1:16" ht="21.75" customHeight="1" x14ac:dyDescent="0.45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IFERROR(__xludf.DUMMYFUNCTION("IMPORTRANGE(""https://docs.google.com/spreadsheets/d/1Yj_ptqi66GCucihVvJfMjLAmec39IyEx_6qawtMGysU/edit?usp=sharing"",""สบก!AR22"")"),102055)</f>
        <v>102055</v>
      </c>
      <c r="N98" s="168">
        <f ca="1">IFERROR(__xludf.DUMMYFUNCTION("IMPORTRANGE(""https://docs.google.com/spreadsheets/d/1Yj_ptqi66GCucihVvJfMjLAmec39IyEx_6qawtMGysU/edit?usp=sharing"",""สบก!AS22"")"),59664)</f>
        <v>59664</v>
      </c>
      <c r="O98" s="168">
        <f ca="1">IF(L98&gt;0,N98*100/L98,0)</f>
        <v>48.864864864864863</v>
      </c>
      <c r="P98" s="168">
        <f ca="1">IF(M98&gt;0,N98*100/M98,0)</f>
        <v>58.462593699475775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IFERROR(__xludf.DUMMYFUNCTION("IMPORTRANGE(""https://docs.google.com/spreadsheets/d/1Yj_ptqi66GCucihVvJfMjLAmec39IyEx_6qawtMGysU/edit?usp=sharing"",""สบก!AN22"")"),0)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IFERROR(__xludf.DUMMYFUNCTION("IMPORTRANGE(""https://docs.google.com/spreadsheets/d/1Yj_ptqi66GCucihVvJfMjLAmec39IyEx_6qawtMGysU/edit?usp=sharing"",""สบก!AO22"")"),122100)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IFERROR(__xludf.DUMMYFUNCTION("IMPORTRANGE(""https://docs.google.com/spreadsheets/d/1Yj_ptqi66GCucihVvJfMjLAmec39IyEx_6qawtMGysU/edit?usp=sharing"",""สบก!AP22"")"),92400)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IFERROR(__xludf.DUMMYFUNCTION("IMPORTRANGE(""https://docs.google.com/spreadsheets/d/1Yj_ptqi66GCucihVvJfMjLAmec39IyEx_6qawtMGysU/edit?usp=sharing"",""สบก!AT22"")"),92400)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IFERROR(__xludf.DUMMYFUNCTION("IMPORTRANGE(""https://docs.google.com/spreadsheets/d/11923uPwbBZFjjGgGUA6NLw09EwE0CqkOc4q9oUmW1yo/edit?usp=sharing"",""เชียงใหม่!J39"")"),0)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IFERROR(__xludf.DUMMYFUNCTION("IMPORTRANGE(""https://docs.google.com/spreadsheets/d/11923uPwbBZFjjGgGUA6NLw09EwE0CqkOc4q9oUmW1yo/edit?usp=sharing"",""เชียงใหม่!J40"")"),1)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IFERROR(__xludf.DUMMYFUNCTION("IMPORTRANGE(""https://docs.google.com/spreadsheets/d/11923uPwbBZFjjGgGUA6NLw09EwE0CqkOc4q9oUmW1yo/edit?usp=sharing"",""เชียงใหม่!J41"")"),1)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IFERROR(__xludf.DUMMYFUNCTION("IMPORTRANGE(""https://docs.google.com/spreadsheets/d/11923uPwbBZFjjGgGUA6NLw09EwE0CqkOc4q9oUmW1yo/edit?usp=sharing"",""เชียงใหม่!J42"")"),1)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IFERROR(__xludf.DUMMYFUNCTION("IMPORTRANGE(""https://docs.google.com/spreadsheets/d/11923uPwbBZFjjGgGUA6NLw09EwE0CqkOc4q9oUmW1yo/edit?usp=sharing"",""เชียงใหม่!I43"")"),1)</f>
        <v>1</v>
      </c>
      <c r="J108" s="203">
        <f ca="1">IFERROR(__xludf.DUMMYFUNCTION("IMPORTRANGE(""https://docs.google.com/spreadsheets/d/11923uPwbBZFjjGgGUA6NLw09EwE0CqkOc4q9oUmW1yo/edit?usp=sharing"",""เชียงใหม่!J43"")"),1)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IFERROR(__xludf.DUMMYFUNCTION("IMPORTRANGE(""https://docs.google.com/spreadsheets/d/11923uPwbBZFjjGgGUA6NLw09EwE0CqkOc4q9oUmW1yo/edit?usp=sharing"",""เชียงใหม่!I44"")"),4)</f>
        <v>4</v>
      </c>
      <c r="J109" s="203">
        <f ca="1">IFERROR(__xludf.DUMMYFUNCTION("IMPORTRANGE(""https://docs.google.com/spreadsheets/d/11923uPwbBZFjjGgGUA6NLw09EwE0CqkOc4q9oUmW1yo/edit?usp=sharing"",""เชียงใหม่!J44"")"),4)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IFERROR(__xludf.DUMMYFUNCTION("IMPORTRANGE(""https://docs.google.com/spreadsheets/d/11923uPwbBZFjjGgGUA6NLw09EwE0CqkOc4q9oUmW1yo/edit?usp=sharing"",""เชียงใหม่!I45"")"),4)</f>
        <v>4</v>
      </c>
      <c r="J110" s="203">
        <f ca="1">IFERROR(__xludf.DUMMYFUNCTION("IMPORTRANGE(""https://docs.google.com/spreadsheets/d/11923uPwbBZFjjGgGUA6NLw09EwE0CqkOc4q9oUmW1yo/edit?usp=sharing"",""เชียงใหม่!J45"")"),4)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IFERROR(__xludf.DUMMYFUNCTION("IMPORTRANGE(""https://docs.google.com/spreadsheets/d/11923uPwbBZFjjGgGUA6NLw09EwE0CqkOc4q9oUmW1yo/edit?usp=sharing"",""เชียงใหม่!I46"")"),4)</f>
        <v>4</v>
      </c>
      <c r="J111" s="203">
        <f ca="1">IFERROR(__xludf.DUMMYFUNCTION("IMPORTRANGE(""https://docs.google.com/spreadsheets/d/11923uPwbBZFjjGgGUA6NLw09EwE0CqkOc4q9oUmW1yo/edit?usp=sharing"",""เชียงใหม่!J46"")"),4)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IFERROR(__xludf.DUMMYFUNCTION("IMPORTRANGE(""https://docs.google.com/spreadsheets/d/11923uPwbBZFjjGgGUA6NLw09EwE0CqkOc4q9oUmW1yo/edit?usp=sharing"",""เชียงใหม่!I47"")"),4)</f>
        <v>4</v>
      </c>
      <c r="J112" s="203">
        <f ca="1">IFERROR(__xludf.DUMMYFUNCTION("IMPORTRANGE(""https://docs.google.com/spreadsheets/d/11923uPwbBZFjjGgGUA6NLw09EwE0CqkOc4q9oUmW1yo/edit?usp=sharing"",""เชียงใหม่!J47"")"),4)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IFERROR(__xludf.DUMMYFUNCTION("IMPORTRANGE(""https://docs.google.com/spreadsheets/d/11923uPwbBZFjjGgGUA6NLw09EwE0CqkOc4q9oUmW1yo/edit?usp=sharing"",""เชียงใหม่!I48"")"),1)</f>
        <v>1</v>
      </c>
      <c r="J113" s="203">
        <f ca="1">IFERROR(__xludf.DUMMYFUNCTION("IMPORTRANGE(""https://docs.google.com/spreadsheets/d/11923uPwbBZFjjGgGUA6NLw09EwE0CqkOc4q9oUmW1yo/edit?usp=sharing"",""เชียงใหม่!J48"")"),1)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IFERROR(__xludf.DUMMYFUNCTION("IMPORTRANGE(""https://docs.google.com/spreadsheets/d/11923uPwbBZFjjGgGUA6NLw09EwE0CqkOc4q9oUmW1yo/edit?usp=sharing"",""เชียงใหม่!J49"")"),0)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IFERROR(__xludf.DUMMYFUNCTION("IMPORTRANGE(""https://docs.google.com/spreadsheets/d/11923uPwbBZFjjGgGUA6NLw09EwE0CqkOc4q9oUmW1yo/edit?usp=sharing"",""เชียงใหม่!J50"")"),0)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IFERROR(__xludf.DUMMYFUNCTION("IMPORTRANGE(""https://docs.google.com/spreadsheets/d/11923uPwbBZFjjGgGUA6NLw09EwE0CqkOc4q9oUmW1yo/edit?usp=sharing"",""เชียงใหม่!I52"")"),0)</f>
        <v>0</v>
      </c>
      <c r="J117" s="142">
        <f ca="1">IFERROR(__xludf.DUMMYFUNCTION("IMPORTRANGE(""https://docs.google.com/spreadsheets/d/11923uPwbBZFjjGgGUA6NLw09EwE0CqkOc4q9oUmW1yo/edit?usp=sharing"",""เชียงใหม่!J52"")"),0)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IFERROR(__xludf.DUMMYFUNCTION("IMPORTRANGE(""https://docs.google.com/spreadsheets/d/1Yj_ptqi66GCucihVvJfMjLAmec39IyEx_6qawtMGysU/edit?usp=sharing"",""สบก!BA22"")"),0)</f>
        <v>0</v>
      </c>
      <c r="N122" s="168">
        <f ca="1">IFERROR(__xludf.DUMMYFUNCTION("IMPORTRANGE(""https://docs.google.com/spreadsheets/d/1Yj_ptqi66GCucihVvJfMjLAmec39IyEx_6qawtMGysU/edit?usp=sharing"",""สบก!BB22"")"),0)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IFERROR(__xludf.DUMMYFUNCTION("IMPORTRANGE(""https://docs.google.com/spreadsheets/d/1Yj_ptqi66GCucihVvJfMjLAmec39IyEx_6qawtMGysU/edit?usp=sharing"",""สบก!AW22"")"),0)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IFERROR(__xludf.DUMMYFUNCTION("IMPORTRANGE(""https://docs.google.com/spreadsheets/d/1Yj_ptqi66GCucihVvJfMjLAmec39IyEx_6qawtMGysU/edit?usp=sharing"",""สบก!AX22"")"),0)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IFERROR(__xludf.DUMMYFUNCTION("IMPORTRANGE(""https://docs.google.com/spreadsheets/d/1Yj_ptqi66GCucihVvJfMjLAmec39IyEx_6qawtMGysU/edit?usp=sharing"",""สบก!AY22"")"),0)</f>
        <v>0</v>
      </c>
      <c r="M126" s="50"/>
      <c r="N126" s="50">
        <f ca="1">IFERROR(__xludf.DUMMYFUNCTION("IMPORTRANGE(""https://docs.google.com/spreadsheets/d/1Yj_ptqi66GCucihVvJfMjLAmec39IyEx_6qawtMGysU/edit?usp=sharing"",""สบก!BC22"")"),0)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265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IFERROR(__xludf.DUMMYFUNCTION("IMPORTRANGE(""https://docs.google.com/spreadsheets/d/11923uPwbBZFjjGgGUA6NLw09EwE0CqkOc4q9oUmW1yo/edit?usp=sharing"",""เชียงใหม่!J58"")"),0)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IFERROR(__xludf.DUMMYFUNCTION("IMPORTRANGE(""https://docs.google.com/spreadsheets/d/11923uPwbBZFjjGgGUA6NLw09EwE0CqkOc4q9oUmW1yo/edit?usp=sharing"",""เชียงใหม่!J59"")"),0)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IFERROR(__xludf.DUMMYFUNCTION("IMPORTRANGE(""https://docs.google.com/spreadsheets/d/11923uPwbBZFjjGgGUA6NLw09EwE0CqkOc4q9oUmW1yo/edit?usp=sharing"",""เชียงใหม่!J60"")"),0)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IFERROR(__xludf.DUMMYFUNCTION("IMPORTRANGE(""https://docs.google.com/spreadsheets/d/11923uPwbBZFjjGgGUA6NLw09EwE0CqkOc4q9oUmW1yo/edit?usp=sharing"",""เชียงใหม่!J61"")"),0)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IFERROR(__xludf.DUMMYFUNCTION("IMPORTRANGE(""https://docs.google.com/spreadsheets/d/11923uPwbBZFjjGgGUA6NLw09EwE0CqkOc4q9oUmW1yo/edit?usp=sharing"",""เชียงใหม่!I62"")"),0)</f>
        <v>0</v>
      </c>
      <c r="J132" s="203">
        <f ca="1">IFERROR(__xludf.DUMMYFUNCTION("IMPORTRANGE(""https://docs.google.com/spreadsheets/d/11923uPwbBZFjjGgGUA6NLw09EwE0CqkOc4q9oUmW1yo/edit?usp=sharing"",""เชียงใหม่!J62"")"),0)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IFERROR(__xludf.DUMMYFUNCTION("IMPORTRANGE(""https://docs.google.com/spreadsheets/d/11923uPwbBZFjjGgGUA6NLw09EwE0CqkOc4q9oUmW1yo/edit?usp=sharing"",""เชียงใหม่!I63"")"),0)</f>
        <v>0</v>
      </c>
      <c r="J133" s="203">
        <f ca="1">IFERROR(__xludf.DUMMYFUNCTION("IMPORTRANGE(""https://docs.google.com/spreadsheets/d/11923uPwbBZFjjGgGUA6NLw09EwE0CqkOc4q9oUmW1yo/edit?usp=sharing"",""เชียงใหม่!J63"")"),0)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IFERROR(__xludf.DUMMYFUNCTION("IMPORTRANGE(""https://docs.google.com/spreadsheets/d/11923uPwbBZFjjGgGUA6NLw09EwE0CqkOc4q9oUmW1yo/edit?usp=sharing"",""เชียงใหม่!J64"")"),0)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IFERROR(__xludf.DUMMYFUNCTION("IMPORTRANGE(""https://docs.google.com/spreadsheets/d/11923uPwbBZFjjGgGUA6NLw09EwE0CqkOc4q9oUmW1yo/edit?usp=sharing"",""เชียงใหม่!J65"")"),0)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IFERROR(__xludf.DUMMYFUNCTION("IMPORTRANGE(""https://docs.google.com/spreadsheets/d/11923uPwbBZFjjGgGUA6NLw09EwE0CqkOc4q9oUmW1yo/edit?usp=sharing"",""เชียงใหม่!I68"")"),100)</f>
        <v>100</v>
      </c>
      <c r="J138" s="267">
        <f ca="1">IFERROR(__xludf.DUMMYFUNCTION("IMPORTRANGE(""https://docs.google.com/spreadsheets/d/11923uPwbBZFjjGgGUA6NLw09EwE0CqkOc4q9oUmW1yo/edit?usp=sharing"",""เชียงใหม่!J68"")"),100)</f>
        <v>100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891700</v>
      </c>
      <c r="M140" s="152">
        <f t="shared" ca="1" si="64"/>
        <v>752775</v>
      </c>
      <c r="N140" s="152">
        <f t="shared" ca="1" si="64"/>
        <v>485135.1</v>
      </c>
      <c r="O140" s="151">
        <f t="shared" ref="O140:O142" ca="1" si="65">IF(L140&gt;0,N140*100/L140,0)</f>
        <v>54.405640910620164</v>
      </c>
      <c r="P140" s="151">
        <f t="shared" ref="P140:P142" ca="1" si="66">IF(M140&gt;0,N140*100/M140,0)</f>
        <v>64.446228952874364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891700</v>
      </c>
      <c r="M142" s="88">
        <f t="shared" ca="1" si="68"/>
        <v>752775</v>
      </c>
      <c r="N142" s="88">
        <f t="shared" ca="1" si="68"/>
        <v>485135.1</v>
      </c>
      <c r="O142" s="156">
        <f t="shared" ca="1" si="65"/>
        <v>54.405640910620164</v>
      </c>
      <c r="P142" s="156">
        <f t="shared" ca="1" si="66"/>
        <v>64.446228952874364</v>
      </c>
    </row>
    <row r="143" spans="1:16" ht="21.75" customHeight="1" x14ac:dyDescent="0.45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891700</v>
      </c>
      <c r="M144" s="167">
        <f ca="1">IFERROR(__xludf.DUMMYFUNCTION("IMPORTRANGE(""https://docs.google.com/spreadsheets/d/1Yj_ptqi66GCucihVvJfMjLAmec39IyEx_6qawtMGysU/edit?usp=sharing"",""สบก!BJ22"")"),752775)</f>
        <v>752775</v>
      </c>
      <c r="N144" s="168">
        <f ca="1">IFERROR(__xludf.DUMMYFUNCTION("IMPORTRANGE(""https://docs.google.com/spreadsheets/d/1Yj_ptqi66GCucihVvJfMjLAmec39IyEx_6qawtMGysU/edit?usp=sharing"",""สบก!BK22"")"),485135.1)</f>
        <v>485135.1</v>
      </c>
      <c r="O144" s="168">
        <f ca="1">IF(L144&gt;0,N144*100/L144,0)</f>
        <v>54.405640910620164</v>
      </c>
      <c r="P144" s="168">
        <f ca="1">IF(M144&gt;0,N144*100/M144,0)</f>
        <v>64.446228952874364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IFERROR(__xludf.DUMMYFUNCTION("IMPORTRANGE(""https://docs.google.com/spreadsheets/d/1Yj_ptqi66GCucihVvJfMjLAmec39IyEx_6qawtMGysU/edit?usp=sharing"",""สบก!BF22"")"),331400)</f>
        <v>331400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IFERROR(__xludf.DUMMYFUNCTION("IMPORTRANGE(""https://docs.google.com/spreadsheets/d/1Yj_ptqi66GCucihVvJfMjLAmec39IyEx_6qawtMGysU/edit?usp=sharing"",""สบก!BG22"")"),560300)</f>
        <v>560300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IFERROR(__xludf.DUMMYFUNCTION("IMPORTRANGE(""https://docs.google.com/spreadsheets/d/1Yj_ptqi66GCucihVvJfMjLAmec39IyEx_6qawtMGysU/edit?usp=sharing"",""สบก!BH22"")"),0)</f>
        <v>0</v>
      </c>
      <c r="M148" s="50"/>
      <c r="N148" s="50">
        <f ca="1">IFERROR(__xludf.DUMMYFUNCTION("IMPORTRANGE(""https://docs.google.com/spreadsheets/d/1Yj_ptqi66GCucihVvJfMjLAmec39IyEx_6qawtMGysU/edit?usp=sharing"",""สบก!BL22"")"),0)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IFERROR(__xludf.DUMMYFUNCTION("IMPORTRANGE(""https://docs.google.com/spreadsheets/d/11923uPwbBZFjjGgGUA6NLw09EwE0CqkOc4q9oUmW1yo/edit?usp=sharing"",""เชียงใหม่!I74"")"),4)</f>
        <v>4</v>
      </c>
      <c r="J149" s="275">
        <f ca="1">IFERROR(__xludf.DUMMYFUNCTION("IMPORTRANGE(""https://docs.google.com/spreadsheets/d/11923uPwbBZFjjGgGUA6NLw09EwE0CqkOc4q9oUmW1yo/edit?usp=sharing"",""เชียงใหม่!J74"")"),2)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IFERROR(__xludf.DUMMYFUNCTION("IMPORTRANGE(""https://docs.google.com/spreadsheets/d/11923uPwbBZFjjGgGUA6NLw09EwE0CqkOc4q9oUmW1yo/edit?usp=sharing"",""เชียงใหม่!J79"")"),0)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IFERROR(__xludf.DUMMYFUNCTION("IMPORTRANGE(""https://docs.google.com/spreadsheets/d/11923uPwbBZFjjGgGUA6NLw09EwE0CqkOc4q9oUmW1yo/edit?usp=sharing"",""เชียงใหม่!J80"")"),1)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IFERROR(__xludf.DUMMYFUNCTION("IMPORTRANGE(""https://docs.google.com/spreadsheets/d/11923uPwbBZFjjGgGUA6NLw09EwE0CqkOc4q9oUmW1yo/edit?usp=sharing"",""เชียงใหม่!J81"")"),1)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IFERROR(__xludf.DUMMYFUNCTION("IMPORTRANGE(""https://docs.google.com/spreadsheets/d/11923uPwbBZFjjGgGUA6NLw09EwE0CqkOc4q9oUmW1yo/edit?usp=sharing"",""เชียงใหม่!J82"")"),1)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IFERROR(__xludf.DUMMYFUNCTION("IMPORTRANGE(""https://docs.google.com/spreadsheets/d/11923uPwbBZFjjGgGUA6NLw09EwE0CqkOc4q9oUmW1yo/edit?usp=sharing"",""เชียงใหม่!I83"")"),4)</f>
        <v>4</v>
      </c>
      <c r="J158" s="188">
        <f ca="1">IFERROR(__xludf.DUMMYFUNCTION("IMPORTRANGE(""https://docs.google.com/spreadsheets/d/11923uPwbBZFjjGgGUA6NLw09EwE0CqkOc4q9oUmW1yo/edit?usp=sharing"",""เชียงใหม่!J83"")"),2)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IFERROR(__xludf.DUMMYFUNCTION("IMPORTRANGE(""https://docs.google.com/spreadsheets/d/11923uPwbBZFjjGgGUA6NLw09EwE0CqkOc4q9oUmW1yo/edit?usp=sharing"",""เชียงใหม่!J84"")"),53)</f>
        <v>53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IFERROR(__xludf.DUMMYFUNCTION("IMPORTRANGE(""https://docs.google.com/spreadsheets/d/11923uPwbBZFjjGgGUA6NLw09EwE0CqkOc4q9oUmW1yo/edit?usp=sharing"",""เชียงใหม่!J85"")"),53)</f>
        <v>53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IFERROR(__xludf.DUMMYFUNCTION("IMPORTRANGE(""https://docs.google.com/spreadsheets/d/11923uPwbBZFjjGgGUA6NLw09EwE0CqkOc4q9oUmW1yo/edit?usp=sharing"",""เชียงใหม่!J86"")"),0)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IFERROR(__xludf.DUMMYFUNCTION("IMPORTRANGE(""https://docs.google.com/spreadsheets/d/11923uPwbBZFjjGgGUA6NLw09EwE0CqkOc4q9oUmW1yo/edit?usp=sharing"",""เชียงใหม่!J87"")"),0)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IFERROR(__xludf.DUMMYFUNCTION("IMPORTRANGE(""https://docs.google.com/spreadsheets/d/11923uPwbBZFjjGgGUA6NLw09EwE0CqkOc4q9oUmW1yo/edit?usp=sharing"",""เชียงใหม่!J88"")"),0)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IFERROR(__xludf.DUMMYFUNCTION("IMPORTRANGE(""https://docs.google.com/spreadsheets/d/11923uPwbBZFjjGgGUA6NLw09EwE0CqkOc4q9oUmW1yo/edit?usp=sharing"",""เชียงใหม่!I89"")"),2)</f>
        <v>2</v>
      </c>
      <c r="J164" s="284">
        <f ca="1">IFERROR(__xludf.DUMMYFUNCTION("IMPORTRANGE(""https://docs.google.com/spreadsheets/d/11923uPwbBZFjjGgGUA6NLw09EwE0CqkOc4q9oUmW1yo/edit?usp=sharing"",""เชียงใหม่!J89"")"),2)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IFERROR(__xludf.DUMMYFUNCTION("IMPORTRANGE(""https://docs.google.com/spreadsheets/d/11923uPwbBZFjjGgGUA6NLw09EwE0CqkOc4q9oUmW1yo/edit?usp=sharing"",""เชียงใหม่!J94"")"),0)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IFERROR(__xludf.DUMMYFUNCTION("IMPORTRANGE(""https://docs.google.com/spreadsheets/d/11923uPwbBZFjjGgGUA6NLw09EwE0CqkOc4q9oUmW1yo/edit?usp=sharing"",""เชียงใหม่!J95"")"),1)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IFERROR(__xludf.DUMMYFUNCTION("IMPORTRANGE(""https://docs.google.com/spreadsheets/d/11923uPwbBZFjjGgGUA6NLw09EwE0CqkOc4q9oUmW1yo/edit?usp=sharing"",""เชียงใหม่!J96"")"),1)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IFERROR(__xludf.DUMMYFUNCTION("IMPORTRANGE(""https://docs.google.com/spreadsheets/d/11923uPwbBZFjjGgGUA6NLw09EwE0CqkOc4q9oUmW1yo/edit?usp=sharing"",""เชียงใหม่!J97"")"),1)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IFERROR(__xludf.DUMMYFUNCTION("IMPORTRANGE(""https://docs.google.com/spreadsheets/d/11923uPwbBZFjjGgGUA6NLw09EwE0CqkOc4q9oUmW1yo/edit?usp=sharing"",""เชียงใหม่!I98"")"),2)</f>
        <v>2</v>
      </c>
      <c r="J173" s="188">
        <f ca="1">IFERROR(__xludf.DUMMYFUNCTION("IMPORTRANGE(""https://docs.google.com/spreadsheets/d/11923uPwbBZFjjGgGUA6NLw09EwE0CqkOc4q9oUmW1yo/edit?usp=sharing"",""เชียงใหม่!J98"")"),2)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IFERROR(__xludf.DUMMYFUNCTION("IMPORTRANGE(""https://docs.google.com/spreadsheets/d/11923uPwbBZFjjGgGUA6NLw09EwE0CqkOc4q9oUmW1yo/edit?usp=sharing"",""เชียงใหม่!J99"")"),0)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IFERROR(__xludf.DUMMYFUNCTION("IMPORTRANGE(""https://docs.google.com/spreadsheets/d/11923uPwbBZFjjGgGUA6NLw09EwE0CqkOc4q9oUmW1yo/edit?usp=sharing"",""เชียงใหม่!J100"")"),0)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IFERROR(__xludf.DUMMYFUNCTION("IMPORTRANGE(""https://docs.google.com/spreadsheets/d/11923uPwbBZFjjGgGUA6NLw09EwE0CqkOc4q9oUmW1yo/edit?usp=sharing"",""เชียงใหม่!I101"")"),1)</f>
        <v>1</v>
      </c>
      <c r="J176" s="284">
        <f ca="1">IFERROR(__xludf.DUMMYFUNCTION("IMPORTRANGE(""https://docs.google.com/spreadsheets/d/11923uPwbBZFjjGgGUA6NLw09EwE0CqkOc4q9oUmW1yo/edit?usp=sharing"",""เชียงใหม่!J101"")"),1)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IFERROR(__xludf.DUMMYFUNCTION("IMPORTRANGE(""https://docs.google.com/spreadsheets/d/11923uPwbBZFjjGgGUA6NLw09EwE0CqkOc4q9oUmW1yo/edit?usp=sharing"",""เชียงใหม่!J106"")"),0)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IFERROR(__xludf.DUMMYFUNCTION("IMPORTRANGE(""https://docs.google.com/spreadsheets/d/11923uPwbBZFjjGgGUA6NLw09EwE0CqkOc4q9oUmW1yo/edit?usp=sharing"",""เชียงใหม่!J107"")"),1)</f>
        <v>1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IFERROR(__xludf.DUMMYFUNCTION("IMPORTRANGE(""https://docs.google.com/spreadsheets/d/11923uPwbBZFjjGgGUA6NLw09EwE0CqkOc4q9oUmW1yo/edit?usp=sharing"",""เชียงใหม่!J108"")"),1)</f>
        <v>1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IFERROR(__xludf.DUMMYFUNCTION("IMPORTRANGE(""https://docs.google.com/spreadsheets/d/11923uPwbBZFjjGgGUA6NLw09EwE0CqkOc4q9oUmW1yo/edit?usp=sharing"",""เชียงใหม่!J109"")"),1)</f>
        <v>1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IFERROR(__xludf.DUMMYFUNCTION("IMPORTRANGE(""https://docs.google.com/spreadsheets/d/11923uPwbBZFjjGgGUA6NLw09EwE0CqkOc4q9oUmW1yo/edit?usp=sharing"",""เชียงใหม่!I110"")"),1)</f>
        <v>1</v>
      </c>
      <c r="J185" s="203">
        <f ca="1">IFERROR(__xludf.DUMMYFUNCTION("IMPORTRANGE(""https://docs.google.com/spreadsheets/d/11923uPwbBZFjjGgGUA6NLw09EwE0CqkOc4q9oUmW1yo/edit?usp=sharing"",""เชียงใหม่!J110"")"),1)</f>
        <v>1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IFERROR(__xludf.DUMMYFUNCTION("IMPORTRANGE(""https://docs.google.com/spreadsheets/d/11923uPwbBZFjjGgGUA6NLw09EwE0CqkOc4q9oUmW1yo/edit?usp=sharing"",""เชียงใหม่!I111"")"),1)</f>
        <v>1</v>
      </c>
      <c r="J186" s="203">
        <f ca="1">IFERROR(__xludf.DUMMYFUNCTION("IMPORTRANGE(""https://docs.google.com/spreadsheets/d/11923uPwbBZFjjGgGUA6NLw09EwE0CqkOc4q9oUmW1yo/edit?usp=sharing"",""เชียงใหม่!J111"")"),1)</f>
        <v>1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IFERROR(__xludf.DUMMYFUNCTION("IMPORTRANGE(""https://docs.google.com/spreadsheets/d/11923uPwbBZFjjGgGUA6NLw09EwE0CqkOc4q9oUmW1yo/edit?usp=sharing"",""เชียงใหม่!J112"")"),0)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IFERROR(__xludf.DUMMYFUNCTION("IMPORTRANGE(""https://docs.google.com/spreadsheets/d/11923uPwbBZFjjGgGUA6NLw09EwE0CqkOc4q9oUmW1yo/edit?usp=sharing"",""เชียงใหม่!J113"")"),0)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IFERROR(__xludf.DUMMYFUNCTION("IMPORTRANGE(""https://docs.google.com/spreadsheets/d/11923uPwbBZFjjGgGUA6NLw09EwE0CqkOc4q9oUmW1yo/edit?usp=sharing"",""เชียงใหม่!I114"")"),16000)</f>
        <v>16000</v>
      </c>
      <c r="J189" s="284">
        <f ca="1">IFERROR(__xludf.DUMMYFUNCTION("IMPORTRANGE(""https://docs.google.com/spreadsheets/d/11923uPwbBZFjjGgGUA6NLw09EwE0CqkOc4q9oUmW1yo/edit?usp=sharing"",""เชียงใหม่!J114"")"),0)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IFERROR(__xludf.DUMMYFUNCTION("IMPORTRANGE(""https://docs.google.com/spreadsheets/d/11923uPwbBZFjjGgGUA6NLw09EwE0CqkOc4q9oUmW1yo/edit?usp=sharing"",""เชียงใหม่!J119"")"),0)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IFERROR(__xludf.DUMMYFUNCTION("IMPORTRANGE(""https://docs.google.com/spreadsheets/d/11923uPwbBZFjjGgGUA6NLw09EwE0CqkOc4q9oUmW1yo/edit?usp=sharing"",""เชียงใหม่!J120"")"),1)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IFERROR(__xludf.DUMMYFUNCTION("IMPORTRANGE(""https://docs.google.com/spreadsheets/d/11923uPwbBZFjjGgGUA6NLw09EwE0CqkOc4q9oUmW1yo/edit?usp=sharing"",""เชียงใหม่!J121"")"),1)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IFERROR(__xludf.DUMMYFUNCTION("IMPORTRANGE(""https://docs.google.com/spreadsheets/d/11923uPwbBZFjjGgGUA6NLw09EwE0CqkOc4q9oUmW1yo/edit?usp=sharing"",""เชียงใหม่!J122"")"),1)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IFERROR(__xludf.DUMMYFUNCTION("IMPORTRANGE(""https://docs.google.com/spreadsheets/d/11923uPwbBZFjjGgGUA6NLw09EwE0CqkOc4q9oUmW1yo/edit?usp=sharing"",""เชียงใหม่!I124"")"),16000)</f>
        <v>16000</v>
      </c>
      <c r="J199" s="188">
        <f ca="1">IFERROR(__xludf.DUMMYFUNCTION("IMPORTRANGE(""https://docs.google.com/spreadsheets/d/11923uPwbBZFjjGgGUA6NLw09EwE0CqkOc4q9oUmW1yo/edit?usp=sharing"",""เชียงใหม่!J124"")"),16000)</f>
        <v>16000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IFERROR(__xludf.DUMMYFUNCTION("IMPORTRANGE(""https://docs.google.com/spreadsheets/d/11923uPwbBZFjjGgGUA6NLw09EwE0CqkOc4q9oUmW1yo/edit?usp=sharing"",""เชียงใหม่!I125"")"),16000)</f>
        <v>16000</v>
      </c>
      <c r="J200" s="188">
        <f ca="1">IFERROR(__xludf.DUMMYFUNCTION("IMPORTRANGE(""https://docs.google.com/spreadsheets/d/11923uPwbBZFjjGgGUA6NLw09EwE0CqkOc4q9oUmW1yo/edit?usp=sharing"",""เชียงใหม่!J125"")"),0)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IFERROR(__xludf.DUMMYFUNCTION("IMPORTRANGE(""https://docs.google.com/spreadsheets/d/11923uPwbBZFjjGgGUA6NLw09EwE0CqkOc4q9oUmW1yo/edit?usp=sharing"",""เชียงใหม่!I126"")"),0)</f>
        <v>0</v>
      </c>
      <c r="J201" s="188">
        <f ca="1">IFERROR(__xludf.DUMMYFUNCTION("IMPORTRANGE(""https://docs.google.com/spreadsheets/d/11923uPwbBZFjjGgGUA6NLw09EwE0CqkOc4q9oUmW1yo/edit?usp=sharing"",""เชียงใหม่!J126"")"),0)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IFERROR(__xludf.DUMMYFUNCTION("IMPORTRANGE(""https://docs.google.com/spreadsheets/d/11923uPwbBZFjjGgGUA6NLw09EwE0CqkOc4q9oUmW1yo/edit?usp=sharing"",""เชียงใหม่!J127"")"),0)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IFERROR(__xludf.DUMMYFUNCTION("IMPORTRANGE(""https://docs.google.com/spreadsheets/d/11923uPwbBZFjjGgGUA6NLw09EwE0CqkOc4q9oUmW1yo/edit?usp=sharing"",""เชียงใหม่!J128"")"),0)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IFERROR(__xludf.DUMMYFUNCTION("IMPORTRANGE(""https://docs.google.com/spreadsheets/d/11923uPwbBZFjjGgGUA6NLw09EwE0CqkOc4q9oUmW1yo/edit?usp=sharing"",""เชียงใหม่!I129"")"),100)</f>
        <v>100</v>
      </c>
      <c r="J204" s="284">
        <f ca="1">IFERROR(__xludf.DUMMYFUNCTION("IMPORTRANGE(""https://docs.google.com/spreadsheets/d/11923uPwbBZFjjGgGUA6NLw09EwE0CqkOc4q9oUmW1yo/edit?usp=sharing"",""เชียงใหม่!J129"")"),100)</f>
        <v>100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IFERROR(__xludf.DUMMYFUNCTION("IMPORTRANGE(""https://docs.google.com/spreadsheets/d/11923uPwbBZFjjGgGUA6NLw09EwE0CqkOc4q9oUmW1yo/edit?usp=sharing"",""เชียงใหม่!J134"")"),0)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IFERROR(__xludf.DUMMYFUNCTION("IMPORTRANGE(""https://docs.google.com/spreadsheets/d/11923uPwbBZFjjGgGUA6NLw09EwE0CqkOc4q9oUmW1yo/edit?usp=sharing"",""เชียงใหม่!J135"")"),1)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IFERROR(__xludf.DUMMYFUNCTION("IMPORTRANGE(""https://docs.google.com/spreadsheets/d/11923uPwbBZFjjGgGUA6NLw09EwE0CqkOc4q9oUmW1yo/edit?usp=sharing"",""เชียงใหม่!J136"")"),1)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IFERROR(__xludf.DUMMYFUNCTION("IMPORTRANGE(""https://docs.google.com/spreadsheets/d/11923uPwbBZFjjGgGUA6NLw09EwE0CqkOc4q9oUmW1yo/edit?usp=sharing"",""เชียงใหม่!J137"")"),1)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IFERROR(__xludf.DUMMYFUNCTION("IMPORTRANGE(""https://docs.google.com/spreadsheets/d/11923uPwbBZFjjGgGUA6NLw09EwE0CqkOc4q9oUmW1yo/edit?usp=sharing"",""เชียงใหม่!I138"")"),100)</f>
        <v>100</v>
      </c>
      <c r="J213" s="203">
        <f ca="1">IFERROR(__xludf.DUMMYFUNCTION("IMPORTRANGE(""https://docs.google.com/spreadsheets/d/11923uPwbBZFjjGgGUA6NLw09EwE0CqkOc4q9oUmW1yo/edit?usp=sharing"",""เชียงใหม่!J138"")"),100)</f>
        <v>100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IFERROR(__xludf.DUMMYFUNCTION("IMPORTRANGE(""https://docs.google.com/spreadsheets/d/11923uPwbBZFjjGgGUA6NLw09EwE0CqkOc4q9oUmW1yo/edit?usp=sharing"",""เชียงใหม่!I140"")"),0)</f>
        <v>0</v>
      </c>
      <c r="J215" s="203">
        <f ca="1">IFERROR(__xludf.DUMMYFUNCTION("IMPORTRANGE(""https://docs.google.com/spreadsheets/d/11923uPwbBZFjjGgGUA6NLw09EwE0CqkOc4q9oUmW1yo/edit?usp=sharing"",""เชียงใหม่!J140"")"),0)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IFERROR(__xludf.DUMMYFUNCTION("IMPORTRANGE(""https://docs.google.com/spreadsheets/d/11923uPwbBZFjjGgGUA6NLw09EwE0CqkOc4q9oUmW1yo/edit?usp=sharing"",""เชียงใหม่!I141"")"),3)</f>
        <v>3</v>
      </c>
      <c r="J216" s="203">
        <f ca="1">IFERROR(__xludf.DUMMYFUNCTION("IMPORTRANGE(""https://docs.google.com/spreadsheets/d/11923uPwbBZFjjGgGUA6NLw09EwE0CqkOc4q9oUmW1yo/edit?usp=sharing"",""เชียงใหม่!J141"")"),0)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IFERROR(__xludf.DUMMYFUNCTION("IMPORTRANGE(""https://docs.google.com/spreadsheets/d/11923uPwbBZFjjGgGUA6NLw09EwE0CqkOc4q9oUmW1yo/edit?usp=sharing"",""เชียงใหม่!J142"")"),0)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IFERROR(__xludf.DUMMYFUNCTION("IMPORTRANGE(""https://docs.google.com/spreadsheets/d/11923uPwbBZFjjGgGUA6NLw09EwE0CqkOc4q9oUmW1yo/edit?usp=sharing"",""เชียงใหม่!J143"")"),0)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IFERROR(__xludf.DUMMYFUNCTION("IMPORTRANGE(""https://docs.google.com/spreadsheets/d/11923uPwbBZFjjGgGUA6NLw09EwE0CqkOc4q9oUmW1yo/edit?usp=sharing"",""เชียงใหม่!I144"")"),15)</f>
        <v>15</v>
      </c>
      <c r="J219" s="267">
        <f ca="1">IFERROR(__xludf.DUMMYFUNCTION("IMPORTRANGE(""https://docs.google.com/spreadsheets/d/11923uPwbBZFjjGgGUA6NLw09EwE0CqkOc4q9oUmW1yo/edit?usp=sharing"",""เชียงใหม่!J144"")"),15)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IFERROR(__xludf.DUMMYFUNCTION("IMPORTRANGE(""https://docs.google.com/spreadsheets/d/1Yj_ptqi66GCucihVvJfMjLAmec39IyEx_6qawtMGysU/edit?usp=sharing"",""สบก!BS22"")"),21125)</f>
        <v>21125</v>
      </c>
      <c r="N224" s="168">
        <f ca="1">IFERROR(__xludf.DUMMYFUNCTION("IMPORTRANGE(""https://docs.google.com/spreadsheets/d/1Yj_ptqi66GCucihVvJfMjLAmec39IyEx_6qawtMGysU/edit?usp=sharing"",""สบก!BT22"")"),21125)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IFERROR(__xludf.DUMMYFUNCTION("IMPORTRANGE(""https://docs.google.com/spreadsheets/d/1Yj_ptqi66GCucihVvJfMjLAmec39IyEx_6qawtMGysU/edit?usp=sharing"",""สบก!BO22"")"),0)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IFERROR(__xludf.DUMMYFUNCTION("IMPORTRANGE(""https://docs.google.com/spreadsheets/d/1Yj_ptqi66GCucihVvJfMjLAmec39IyEx_6qawtMGysU/edit?usp=sharing"",""สบก!BP22"")"),21125)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IFERROR(__xludf.DUMMYFUNCTION("IMPORTRANGE(""https://docs.google.com/spreadsheets/d/1Yj_ptqi66GCucihVvJfMjLAmec39IyEx_6qawtMGysU/edit?usp=sharing"",""สบก!BQ22"")"),0)</f>
        <v>0</v>
      </c>
      <c r="M228" s="50"/>
      <c r="N228" s="50">
        <f ca="1">IFERROR(__xludf.DUMMYFUNCTION("IMPORTRANGE(""https://docs.google.com/spreadsheets/d/1Yj_ptqi66GCucihVvJfMjLAmec39IyEx_6qawtMGysU/edit?usp=sharing"",""สบก!BU22"")"),0)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IFERROR(__xludf.DUMMYFUNCTION("IMPORTRANGE(""https://docs.google.com/spreadsheets/d/11923uPwbBZFjjGgGUA6NLw09EwE0CqkOc4q9oUmW1yo/edit?usp=sharing"",""เชียงใหม่!I149"")"),15)</f>
        <v>15</v>
      </c>
      <c r="J229" s="267">
        <f ca="1">IFERROR(__xludf.DUMMYFUNCTION("IMPORTRANGE(""https://docs.google.com/spreadsheets/d/11923uPwbBZFjjGgGUA6NLw09EwE0CqkOc4q9oUmW1yo/edit?usp=sharing"",""เชียงใหม่!J149"")"),15)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IFERROR(__xludf.DUMMYFUNCTION("IMPORTRANGE(""https://docs.google.com/spreadsheets/d/11923uPwbBZFjjGgGUA6NLw09EwE0CqkOc4q9oUmW1yo/edit?usp=sharing"",""เชียงใหม่!J151"")"),0)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IFERROR(__xludf.DUMMYFUNCTION("IMPORTRANGE(""https://docs.google.com/spreadsheets/d/11923uPwbBZFjjGgGUA6NLw09EwE0CqkOc4q9oUmW1yo/edit?usp=sharing"",""เชียงใหม่!J152"")"),1)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IFERROR(__xludf.DUMMYFUNCTION("IMPORTRANGE(""https://docs.google.com/spreadsheets/d/11923uPwbBZFjjGgGUA6NLw09EwE0CqkOc4q9oUmW1yo/edit?usp=sharing"",""เชียงใหม่!J153"")"),1)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IFERROR(__xludf.DUMMYFUNCTION("IMPORTRANGE(""https://docs.google.com/spreadsheets/d/11923uPwbBZFjjGgGUA6NLw09EwE0CqkOc4q9oUmW1yo/edit?usp=sharing"",""เชียงใหม่!J154"")"),1)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IFERROR(__xludf.DUMMYFUNCTION("IMPORTRANGE(""https://docs.google.com/spreadsheets/d/11923uPwbBZFjjGgGUA6NLw09EwE0CqkOc4q9oUmW1yo/edit?usp=sharing"",""เชียงใหม่!I155"")"),15)</f>
        <v>15</v>
      </c>
      <c r="J235" s="188">
        <f ca="1">IFERROR(__xludf.DUMMYFUNCTION("IMPORTRANGE(""https://docs.google.com/spreadsheets/d/11923uPwbBZFjjGgGUA6NLw09EwE0CqkOc4q9oUmW1yo/edit?usp=sharing"",""เชียงใหม่!J155"")"),15)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IFERROR(__xludf.DUMMYFUNCTION("IMPORTRANGE(""https://docs.google.com/spreadsheets/d/11923uPwbBZFjjGgGUA6NLw09EwE0CqkOc4q9oUmW1yo/edit?usp=sharing"",""เชียงใหม่!J156"")"),1)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IFERROR(__xludf.DUMMYFUNCTION("IMPORTRANGE(""https://docs.google.com/spreadsheets/d/11923uPwbBZFjjGgGUA6NLw09EwE0CqkOc4q9oUmW1yo/edit?usp=sharing"",""เชียงใหม่!J157"")"),1)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IFERROR(__xludf.DUMMYFUNCTION("IMPORTRANGE(""https://docs.google.com/spreadsheets/d/11923uPwbBZFjjGgGUA6NLw09EwE0CqkOc4q9oUmW1yo/edit?usp=sharing"",""เชียงใหม่!I158"")"),0)</f>
        <v>0</v>
      </c>
      <c r="J238" s="267">
        <f ca="1">IFERROR(__xludf.DUMMYFUNCTION("IMPORTRANGE(""https://docs.google.com/spreadsheets/d/11923uPwbBZFjjGgGUA6NLw09EwE0CqkOc4q9oUmW1yo/edit?usp=sharing"",""เชียงใหม่!J158"")"),0)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IFERROR(__xludf.DUMMYFUNCTION("IMPORTRANGE(""https://docs.google.com/spreadsheets/d/11923uPwbBZFjjGgGUA6NLw09EwE0CqkOc4q9oUmW1yo/edit?usp=sharing"",""เชียงใหม่!J159"")"),"")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IFERROR(__xludf.DUMMYFUNCTION("IMPORTRANGE(""https://docs.google.com/spreadsheets/d/11923uPwbBZFjjGgGUA6NLw09EwE0CqkOc4q9oUmW1yo/edit?usp=sharing"",""เชียงใหม่!J161"")"),0)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IFERROR(__xludf.DUMMYFUNCTION("IMPORTRANGE(""https://docs.google.com/spreadsheets/d/11923uPwbBZFjjGgGUA6NLw09EwE0CqkOc4q9oUmW1yo/edit?usp=sharing"",""เชียงใหม่!J162"")"),0)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IFERROR(__xludf.DUMMYFUNCTION("IMPORTRANGE(""https://docs.google.com/spreadsheets/d/11923uPwbBZFjjGgGUA6NLw09EwE0CqkOc4q9oUmW1yo/edit?usp=sharing"",""เชียงใหม่!J163"")"),0)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IFERROR(__xludf.DUMMYFUNCTION("IMPORTRANGE(""https://docs.google.com/spreadsheets/d/11923uPwbBZFjjGgGUA6NLw09EwE0CqkOc4q9oUmW1yo/edit?usp=sharing"",""เชียงใหม่!I164"")"),0)</f>
        <v>0</v>
      </c>
      <c r="J244" s="187">
        <f ca="1">IFERROR(__xludf.DUMMYFUNCTION("IMPORTRANGE(""https://docs.google.com/spreadsheets/d/11923uPwbBZFjjGgGUA6NLw09EwE0CqkOc4q9oUmW1yo/edit?usp=sharing"",""เชียงใหม่!J164"")"),0)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IFERROR(__xludf.DUMMYFUNCTION("IMPORTRANGE(""https://docs.google.com/spreadsheets/d/11923uPwbBZFjjGgGUA6NLw09EwE0CqkOc4q9oUmW1yo/edit?usp=sharing"",""เชียงใหม่!J165"")"),0)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IFERROR(__xludf.DUMMYFUNCTION("IMPORTRANGE(""https://docs.google.com/spreadsheets/d/11923uPwbBZFjjGgGUA6NLw09EwE0CqkOc4q9oUmW1yo/edit?usp=sharing"",""เชียงใหม่!J166"")"),0)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IFERROR(__xludf.DUMMYFUNCTION("IMPORTRANGE(""https://docs.google.com/spreadsheets/d/11923uPwbBZFjjGgGUA6NLw09EwE0CqkOc4q9oUmW1yo/edit?usp=sharing"",""เชียงใหม่!I169"")"),20)</f>
        <v>20</v>
      </c>
      <c r="J249" s="316">
        <f ca="1">IFERROR(__xludf.DUMMYFUNCTION("IMPORTRANGE(""https://docs.google.com/spreadsheets/d/11923uPwbBZFjjGgGUA6NLw09EwE0CqkOc4q9oUmW1yo/edit?usp=sharing"",""เชียงใหม่!J169"")"),20)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39422</v>
      </c>
      <c r="O250" s="151">
        <f t="shared" ref="O250:O252" ca="1" si="78">IF(L250&gt;0,N250*100/L250,0)</f>
        <v>55.212885154061624</v>
      </c>
      <c r="P250" s="151">
        <f t="shared" ref="P250:P252" ca="1" si="79">IF(M250&gt;0,N250*100/M250,0)</f>
        <v>93.861904761904768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42000</v>
      </c>
      <c r="N252" s="88">
        <f t="shared" ca="1" si="81"/>
        <v>39422</v>
      </c>
      <c r="O252" s="156">
        <f t="shared" ca="1" si="78"/>
        <v>55.212885154061624</v>
      </c>
      <c r="P252" s="156">
        <f t="shared" ca="1" si="79"/>
        <v>93.861904761904768</v>
      </c>
    </row>
    <row r="253" spans="1:16" ht="21.75" customHeight="1" x14ac:dyDescent="0.45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IFERROR(__xludf.DUMMYFUNCTION("IMPORTRANGE(""https://docs.google.com/spreadsheets/d/1Yj_ptqi66GCucihVvJfMjLAmec39IyEx_6qawtMGysU/edit?usp=sharing"",""สบก!CB22"")"),42000)</f>
        <v>42000</v>
      </c>
      <c r="N254" s="168">
        <f ca="1">IFERROR(__xludf.DUMMYFUNCTION("IMPORTRANGE(""https://docs.google.com/spreadsheets/d/1Yj_ptqi66GCucihVvJfMjLAmec39IyEx_6qawtMGysU/edit?usp=sharing"",""สบก!CC22"")"),39422)</f>
        <v>39422</v>
      </c>
      <c r="O254" s="168">
        <f ca="1">IF(L254&gt;0,N254*100/L254,0)</f>
        <v>55.212885154061624</v>
      </c>
      <c r="P254" s="168">
        <f ca="1">IF(M254&gt;0,N254*100/M254,0)</f>
        <v>93.861904761904768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IFERROR(__xludf.DUMMYFUNCTION("IMPORTRANGE(""https://docs.google.com/spreadsheets/d/1Yj_ptqi66GCucihVvJfMjLAmec39IyEx_6qawtMGysU/edit?usp=sharing"",""สบก!BX22"")"),0)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IFERROR(__xludf.DUMMYFUNCTION("IMPORTRANGE(""https://docs.google.com/spreadsheets/d/1Yj_ptqi66GCucihVvJfMjLAmec39IyEx_6qawtMGysU/edit?usp=sharing"",""สบก!BY22"")"),71400)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IFERROR(__xludf.DUMMYFUNCTION("IMPORTRANGE(""https://docs.google.com/spreadsheets/d/1Yj_ptqi66GCucihVvJfMjLAmec39IyEx_6qawtMGysU/edit?usp=sharing"",""สบก!BZ22"")"),0)</f>
        <v>0</v>
      </c>
      <c r="M258" s="50"/>
      <c r="N258" s="50">
        <f ca="1">IFERROR(__xludf.DUMMYFUNCTION("IMPORTRANGE(""https://docs.google.com/spreadsheets/d/1Yj_ptqi66GCucihVvJfMjLAmec39IyEx_6qawtMGysU/edit?usp=sharing"",""สบก!CD22"")"),0)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IFERROR(__xludf.DUMMYFUNCTION("IMPORTRANGE(""https://docs.google.com/spreadsheets/d/11923uPwbBZFjjGgGUA6NLw09EwE0CqkOc4q9oUmW1yo/edit?usp=sharing"",""เชียงใหม่!J175"")"),0)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IFERROR(__xludf.DUMMYFUNCTION("IMPORTRANGE(""https://docs.google.com/spreadsheets/d/11923uPwbBZFjjGgGUA6NLw09EwE0CqkOc4q9oUmW1yo/edit?usp=sharing"",""เชียงใหม่!J176"")"),1)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IFERROR(__xludf.DUMMYFUNCTION("IMPORTRANGE(""https://docs.google.com/spreadsheets/d/11923uPwbBZFjjGgGUA6NLw09EwE0CqkOc4q9oUmW1yo/edit?usp=sharing"",""เชียงใหม่!J177"")"),1)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IFERROR(__xludf.DUMMYFUNCTION("IMPORTRANGE(""https://docs.google.com/spreadsheets/d/11923uPwbBZFjjGgGUA6NLw09EwE0CqkOc4q9oUmW1yo/edit?usp=sharing"",""เชียงใหม่!J178"")"),1)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IFERROR(__xludf.DUMMYFUNCTION("IMPORTRANGE(""https://docs.google.com/spreadsheets/d/11923uPwbBZFjjGgGUA6NLw09EwE0CqkOc4q9oUmW1yo/edit?usp=sharing"",""เชียงใหม่!I179"")"),1)</f>
        <v>1</v>
      </c>
      <c r="J264" s="188">
        <f ca="1">IFERROR(__xludf.DUMMYFUNCTION("IMPORTRANGE(""https://docs.google.com/spreadsheets/d/11923uPwbBZFjjGgGUA6NLw09EwE0CqkOc4q9oUmW1yo/edit?usp=sharing"",""เชียงใหม่!J179"")"),1)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IFERROR(__xludf.DUMMYFUNCTION("IMPORTRANGE(""https://docs.google.com/spreadsheets/d/11923uPwbBZFjjGgGUA6NLw09EwE0CqkOc4q9oUmW1yo/edit?usp=sharing"",""เชียงใหม่!I180"")"),20)</f>
        <v>20</v>
      </c>
      <c r="J265" s="188">
        <f ca="1">IFERROR(__xludf.DUMMYFUNCTION("IMPORTRANGE(""https://docs.google.com/spreadsheets/d/11923uPwbBZFjjGgGUA6NLw09EwE0CqkOc4q9oUmW1yo/edit?usp=sharing"",""เชียงใหม่!J180"")"),20)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IFERROR(__xludf.DUMMYFUNCTION("IMPORTRANGE(""https://docs.google.com/spreadsheets/d/11923uPwbBZFjjGgGUA6NLw09EwE0CqkOc4q9oUmW1yo/edit?usp=sharing"",""เชียงใหม่!I181"")"),20)</f>
        <v>20</v>
      </c>
      <c r="J266" s="188">
        <f ca="1">IFERROR(__xludf.DUMMYFUNCTION("IMPORTRANGE(""https://docs.google.com/spreadsheets/d/11923uPwbBZFjjGgGUA6NLw09EwE0CqkOc4q9oUmW1yo/edit?usp=sharing"",""เชียงใหม่!J181"")"),0)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IFERROR(__xludf.DUMMYFUNCTION("IMPORTRANGE(""https://docs.google.com/spreadsheets/d/11923uPwbBZFjjGgGUA6NLw09EwE0CqkOc4q9oUmW1yo/edit?usp=sharing"",""เชียงใหม่!I182"")"),1)</f>
        <v>1</v>
      </c>
      <c r="J267" s="188">
        <f ca="1">IFERROR(__xludf.DUMMYFUNCTION("IMPORTRANGE(""https://docs.google.com/spreadsheets/d/11923uPwbBZFjjGgGUA6NLw09EwE0CqkOc4q9oUmW1yo/edit?usp=sharing"",""เชียงใหม่!J182"")"),1)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IFERROR(__xludf.DUMMYFUNCTION("IMPORTRANGE(""https://docs.google.com/spreadsheets/d/11923uPwbBZFjjGgGUA6NLw09EwE0CqkOc4q9oUmW1yo/edit?usp=sharing"",""เชียงใหม่!J183"")"),0)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IFERROR(__xludf.DUMMYFUNCTION("IMPORTRANGE(""https://docs.google.com/spreadsheets/d/11923uPwbBZFjjGgGUA6NLw09EwE0CqkOc4q9oUmW1yo/edit?usp=sharing"",""เชียงใหม่!J184"")"),0)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IFERROR(__xludf.DUMMYFUNCTION("IMPORTRANGE(""https://docs.google.com/spreadsheets/d/11923uPwbBZFjjGgGUA6NLw09EwE0CqkOc4q9oUmW1yo/edit?usp=sharing"",""เชียงใหม่!I185"")"),15)</f>
        <v>15</v>
      </c>
      <c r="J270" s="316">
        <f ca="1">IFERROR(__xludf.DUMMYFUNCTION("IMPORTRANGE(""https://docs.google.com/spreadsheets/d/11923uPwbBZFjjGgGUA6NLw09EwE0CqkOc4q9oUmW1yo/edit?usp=sharing"",""เชียงใหม่!J185"")"),15)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80000</v>
      </c>
      <c r="N271" s="152">
        <f t="shared" ca="1" si="83"/>
        <v>64373.599999999999</v>
      </c>
      <c r="O271" s="151">
        <f t="shared" ref="O271:O273" ca="1" si="84">IF(L271&gt;0,N271*100/L271,0)</f>
        <v>60.90217596972564</v>
      </c>
      <c r="P271" s="151">
        <f t="shared" ref="P271:P273" ca="1" si="85">IF(M271&gt;0,N271*100/M271,0)</f>
        <v>80.466999999999999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80000</v>
      </c>
      <c r="N273" s="88">
        <f t="shared" ca="1" si="87"/>
        <v>64373.599999999999</v>
      </c>
      <c r="O273" s="156">
        <f t="shared" ca="1" si="84"/>
        <v>60.90217596972564</v>
      </c>
      <c r="P273" s="156">
        <f t="shared" ca="1" si="85"/>
        <v>80.466999999999999</v>
      </c>
    </row>
    <row r="274" spans="1:16" ht="21.75" customHeight="1" x14ac:dyDescent="0.45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IFERROR(__xludf.DUMMYFUNCTION("IMPORTRANGE(""https://docs.google.com/spreadsheets/d/1Yj_ptqi66GCucihVvJfMjLAmec39IyEx_6qawtMGysU/edit?usp=sharing"",""สบก!CK22"")"),80000)</f>
        <v>80000</v>
      </c>
      <c r="N275" s="168">
        <f ca="1">IFERROR(__xludf.DUMMYFUNCTION("IMPORTRANGE(""https://docs.google.com/spreadsheets/d/1Yj_ptqi66GCucihVvJfMjLAmec39IyEx_6qawtMGysU/edit?usp=sharing"",""สบก!CL22"")"),64373.6)</f>
        <v>64373.599999999999</v>
      </c>
      <c r="O275" s="168">
        <f ca="1">IF(L275&gt;0,N275*100/L275,0)</f>
        <v>60.90217596972564</v>
      </c>
      <c r="P275" s="168">
        <f ca="1">IF(M275&gt;0,N275*100/M275,0)</f>
        <v>80.466999999999999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IFERROR(__xludf.DUMMYFUNCTION("IMPORTRANGE(""https://docs.google.com/spreadsheets/d/1Yj_ptqi66GCucihVvJfMjLAmec39IyEx_6qawtMGysU/edit?usp=sharing"",""สบก!CG22"")"),0)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IFERROR(__xludf.DUMMYFUNCTION("IMPORTRANGE(""https://docs.google.com/spreadsheets/d/1Yj_ptqi66GCucihVvJfMjLAmec39IyEx_6qawtMGysU/edit?usp=sharing"",""สบก!CH22"")"),105700)</f>
        <v>105700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IFERROR(__xludf.DUMMYFUNCTION("IMPORTRANGE(""https://docs.google.com/spreadsheets/d/1Yj_ptqi66GCucihVvJfMjLAmec39IyEx_6qawtMGysU/edit?usp=sharing"",""สบก!CI22"")"),0)</f>
        <v>0</v>
      </c>
      <c r="M279" s="50"/>
      <c r="N279" s="50">
        <f ca="1">IFERROR(__xludf.DUMMYFUNCTION("IMPORTRANGE(""https://docs.google.com/spreadsheets/d/1Yj_ptqi66GCucihVvJfMjLAmec39IyEx_6qawtMGysU/edit?usp=sharing"",""สบก!CM22"")"),0)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IFERROR(__xludf.DUMMYFUNCTION("IMPORTRANGE(""https://docs.google.com/spreadsheets/d/11923uPwbBZFjjGgGUA6NLw09EwE0CqkOc4q9oUmW1yo/edit?usp=sharing"",""เชียงใหม่!J191"")"),0)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IFERROR(__xludf.DUMMYFUNCTION("IMPORTRANGE(""https://docs.google.com/spreadsheets/d/11923uPwbBZFjjGgGUA6NLw09EwE0CqkOc4q9oUmW1yo/edit?usp=sharing"",""เชียงใหม่!J192"")"),1)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IFERROR(__xludf.DUMMYFUNCTION("IMPORTRANGE(""https://docs.google.com/spreadsheets/d/11923uPwbBZFjjGgGUA6NLw09EwE0CqkOc4q9oUmW1yo/edit?usp=sharing"",""เชียงใหม่!J193"")"),1)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IFERROR(__xludf.DUMMYFUNCTION("IMPORTRANGE(""https://docs.google.com/spreadsheets/d/11923uPwbBZFjjGgGUA6NLw09EwE0CqkOc4q9oUmW1yo/edit?usp=sharing"",""เชียงใหม่!J194"")"),1)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IFERROR(__xludf.DUMMYFUNCTION("IMPORTRANGE(""https://docs.google.com/spreadsheets/d/11923uPwbBZFjjGgGUA6NLw09EwE0CqkOc4q9oUmW1yo/edit?usp=sharing"",""เชียงใหม่!I195"")"),15)</f>
        <v>15</v>
      </c>
      <c r="J285" s="188">
        <f ca="1">IFERROR(__xludf.DUMMYFUNCTION("IMPORTRANGE(""https://docs.google.com/spreadsheets/d/11923uPwbBZFjjGgGUA6NLw09EwE0CqkOc4q9oUmW1yo/edit?usp=sharing"",""เชียงใหม่!J195"")"),15)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IFERROR(__xludf.DUMMYFUNCTION("IMPORTRANGE(""https://docs.google.com/spreadsheets/d/11923uPwbBZFjjGgGUA6NLw09EwE0CqkOc4q9oUmW1yo/edit?usp=sharing"",""เชียงใหม่!J196"")"),0)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IFERROR(__xludf.DUMMYFUNCTION("IMPORTRANGE(""https://docs.google.com/spreadsheets/d/11923uPwbBZFjjGgGUA6NLw09EwE0CqkOc4q9oUmW1yo/edit?usp=sharing"",""เชียงใหม่!J197"")"),0)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IFERROR(__xludf.DUMMYFUNCTION("IMPORTRANGE(""https://docs.google.com/spreadsheets/d/11923uPwbBZFjjGgGUA6NLw09EwE0CqkOc4q9oUmW1yo/edit?usp=sharing"",""เชียงใหม่!I199"")"),0)</f>
        <v>0</v>
      </c>
      <c r="J289" s="316">
        <f ca="1">IFERROR(__xludf.DUMMYFUNCTION("IMPORTRANGE(""https://docs.google.com/spreadsheets/d/11923uPwbBZFjjGgGUA6NLw09EwE0CqkOc4q9oUmW1yo/edit?usp=sharing"",""เชียงใหม่!J199"")"),0)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IFERROR(__xludf.DUMMYFUNCTION("IMPORTRANGE(""https://docs.google.com/spreadsheets/d/1Yj_ptqi66GCucihVvJfMjLAmec39IyEx_6qawtMGysU/edit?usp=sharing"",""สบก!CT22"")"),0)</f>
        <v>0</v>
      </c>
      <c r="N294" s="168">
        <f ca="1">IFERROR(__xludf.DUMMYFUNCTION("IMPORTRANGE(""https://docs.google.com/spreadsheets/d/1Yj_ptqi66GCucihVvJfMjLAmec39IyEx_6qawtMGysU/edit?usp=sharing"",""สบก!CU22"")"),0)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IFERROR(__xludf.DUMMYFUNCTION("IMPORTRANGE(""https://docs.google.com/spreadsheets/d/1Yj_ptqi66GCucihVvJfMjLAmec39IyEx_6qawtMGysU/edit?usp=sharing"",""สบก!CP22"")"),0)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IFERROR(__xludf.DUMMYFUNCTION("IMPORTRANGE(""https://docs.google.com/spreadsheets/d/1Yj_ptqi66GCucihVvJfMjLAmec39IyEx_6qawtMGysU/edit?usp=sharing"",""สบก!CQ22"")"),0)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IFERROR(__xludf.DUMMYFUNCTION("IMPORTRANGE(""https://docs.google.com/spreadsheets/d/1Yj_ptqi66GCucihVvJfMjLAmec39IyEx_6qawtMGysU/edit?usp=sharing"",""สบก!CR22"")"),0)</f>
        <v>0</v>
      </c>
      <c r="M298" s="50"/>
      <c r="N298" s="50">
        <f ca="1">IFERROR(__xludf.DUMMYFUNCTION("IMPORTRANGE(""https://docs.google.com/spreadsheets/d/1Yj_ptqi66GCucihVvJfMjLAmec39IyEx_6qawtMGysU/edit?usp=sharing"",""สบก!CV22"")"),0)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IFERROR(__xludf.DUMMYFUNCTION("IMPORTRANGE(""https://docs.google.com/spreadsheets/d/11923uPwbBZFjjGgGUA6NLw09EwE0CqkOc4q9oUmW1yo/edit?usp=sharing"",""เชียงใหม่!J205"")"),0)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IFERROR(__xludf.DUMMYFUNCTION("IMPORTRANGE(""https://docs.google.com/spreadsheets/d/11923uPwbBZFjjGgGUA6NLw09EwE0CqkOc4q9oUmW1yo/edit?usp=sharing"",""เชียงใหม่!J206"")"),0)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IFERROR(__xludf.DUMMYFUNCTION("IMPORTRANGE(""https://docs.google.com/spreadsheets/d/11923uPwbBZFjjGgGUA6NLw09EwE0CqkOc4q9oUmW1yo/edit?usp=sharing"",""เชียงใหม่!J207"")"),0)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IFERROR(__xludf.DUMMYFUNCTION("IMPORTRANGE(""https://docs.google.com/spreadsheets/d/11923uPwbBZFjjGgGUA6NLw09EwE0CqkOc4q9oUmW1yo/edit?usp=sharing"",""เชียงใหม่!J208"")"),0)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IFERROR(__xludf.DUMMYFUNCTION("IMPORTRANGE(""https://docs.google.com/spreadsheets/d/11923uPwbBZFjjGgGUA6NLw09EwE0CqkOc4q9oUmW1yo/edit?usp=sharing"",""เชียงใหม่!I209"")"),0)</f>
        <v>0</v>
      </c>
      <c r="J304" s="203">
        <f ca="1">IFERROR(__xludf.DUMMYFUNCTION("IMPORTRANGE(""https://docs.google.com/spreadsheets/d/11923uPwbBZFjjGgGUA6NLw09EwE0CqkOc4q9oUmW1yo/edit?usp=sharing"",""เชียงใหม่!J209"")"),0)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IFERROR(__xludf.DUMMYFUNCTION("IMPORTRANGE(""https://docs.google.com/spreadsheets/d/11923uPwbBZFjjGgGUA6NLw09EwE0CqkOc4q9oUmW1yo/edit?usp=sharing"",""เชียงใหม่!I211"")"),0)</f>
        <v>0</v>
      </c>
      <c r="J306" s="203">
        <f ca="1">IFERROR(__xludf.DUMMYFUNCTION("IMPORTRANGE(""https://docs.google.com/spreadsheets/d/11923uPwbBZFjjGgGUA6NLw09EwE0CqkOc4q9oUmW1yo/edit?usp=sharing"",""เชียงใหม่!J211"")"),0)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IFERROR(__xludf.DUMMYFUNCTION("IMPORTRANGE(""https://docs.google.com/spreadsheets/d/11923uPwbBZFjjGgGUA6NLw09EwE0CqkOc4q9oUmW1yo/edit?usp=sharing"",""เชียงใหม่!J212"")"),0)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IFERROR(__xludf.DUMMYFUNCTION("IMPORTRANGE(""https://docs.google.com/spreadsheets/d/11923uPwbBZFjjGgGUA6NLw09EwE0CqkOc4q9oUmW1yo/edit?usp=sharing"",""เชียงใหม่!J213"")"),0)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IFERROR(__xludf.DUMMYFUNCTION("IMPORTRANGE(""https://docs.google.com/spreadsheets/d/11923uPwbBZFjjGgGUA6NLw09EwE0CqkOc4q9oUmW1yo/edit?usp=sharing"",""เชียงใหม่!I214"")"),6)</f>
        <v>6</v>
      </c>
      <c r="J309" s="333">
        <f ca="1">IFERROR(__xludf.DUMMYFUNCTION("IMPORTRANGE(""https://docs.google.com/spreadsheets/d/11923uPwbBZFjjGgGUA6NLw09EwE0CqkOc4q9oUmW1yo/edit?usp=sharing"",""เชียงใหม่!J214"")"),6)</f>
        <v>6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6"/>
      <c r="J310" s="336"/>
      <c r="K310" s="337"/>
      <c r="L310" s="152">
        <f t="shared" ref="L310:N310" ca="1" si="93">L311+L312</f>
        <v>315600</v>
      </c>
      <c r="M310" s="152">
        <f t="shared" ca="1" si="93"/>
        <v>236700</v>
      </c>
      <c r="N310" s="152">
        <f t="shared" ca="1" si="93"/>
        <v>120827.75</v>
      </c>
      <c r="O310" s="151">
        <f t="shared" ref="O310:O312" ca="1" si="94">IF(L310&gt;0,N310*100/L310,0)</f>
        <v>38.285091888466411</v>
      </c>
      <c r="P310" s="151">
        <f t="shared" ref="P310:P312" ca="1" si="95">IF(M310&gt;0,N310*100/M310,0)</f>
        <v>51.046789184621886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315600</v>
      </c>
      <c r="M312" s="88">
        <f t="shared" ca="1" si="97"/>
        <v>236700</v>
      </c>
      <c r="N312" s="88">
        <f t="shared" ca="1" si="97"/>
        <v>120827.75</v>
      </c>
      <c r="O312" s="156">
        <f t="shared" ca="1" si="94"/>
        <v>38.285091888466411</v>
      </c>
      <c r="P312" s="156">
        <f t="shared" ca="1" si="95"/>
        <v>51.046789184621886</v>
      </c>
    </row>
    <row r="313" spans="1:16" ht="21.75" customHeight="1" x14ac:dyDescent="0.45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315600</v>
      </c>
      <c r="M314" s="167">
        <f ca="1">IFERROR(__xludf.DUMMYFUNCTION("IMPORTRANGE(""https://docs.google.com/spreadsheets/d/1Yj_ptqi66GCucihVvJfMjLAmec39IyEx_6qawtMGysU/edit?usp=sharing"",""สบก!DC22"")"),236700)</f>
        <v>236700</v>
      </c>
      <c r="N314" s="168">
        <f ca="1">IFERROR(__xludf.DUMMYFUNCTION("IMPORTRANGE(""https://docs.google.com/spreadsheets/d/1Yj_ptqi66GCucihVvJfMjLAmec39IyEx_6qawtMGysU/edit?usp=sharing"",""สบก!DD22"")"),120827.75)</f>
        <v>120827.75</v>
      </c>
      <c r="O314" s="168">
        <f ca="1">IF(L314&gt;0,N314*100/L314,0)</f>
        <v>38.285091888466411</v>
      </c>
      <c r="P314" s="168">
        <f ca="1">IF(M314&gt;0,N314*100/M314,0)</f>
        <v>51.046789184621886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IFERROR(__xludf.DUMMYFUNCTION("IMPORTRANGE(""https://docs.google.com/spreadsheets/d/1Yj_ptqi66GCucihVvJfMjLAmec39IyEx_6qawtMGysU/edit?usp=sharing"",""สบก!CY22"")"),0)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IFERROR(__xludf.DUMMYFUNCTION("IMPORTRANGE(""https://docs.google.com/spreadsheets/d/1Yj_ptqi66GCucihVvJfMjLAmec39IyEx_6qawtMGysU/edit?usp=sharing"",""สบก!CZ22"")"),315600)</f>
        <v>315600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IFERROR(__xludf.DUMMYFUNCTION("IMPORTRANGE(""https://docs.google.com/spreadsheets/d/1Yj_ptqi66GCucihVvJfMjLAmec39IyEx_6qawtMGysU/edit?usp=sharing"",""สบก!DA22"")"),0)</f>
        <v>0</v>
      </c>
      <c r="M318" s="50"/>
      <c r="N318" s="50">
        <f ca="1">IFERROR(__xludf.DUMMYFUNCTION("IMPORTRANGE(""https://docs.google.com/spreadsheets/d/1Yj_ptqi66GCucihVvJfMjLAmec39IyEx_6qawtMGysU/edit?usp=sharing"",""สบก!DE22"")"),0)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IFERROR(__xludf.DUMMYFUNCTION("IMPORTRANGE(""https://docs.google.com/spreadsheets/d/11923uPwbBZFjjGgGUA6NLw09EwE0CqkOc4q9oUmW1yo/edit?usp=sharing"",""เชียงใหม่!J220"")"),0)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IFERROR(__xludf.DUMMYFUNCTION("IMPORTRANGE(""https://docs.google.com/spreadsheets/d/11923uPwbBZFjjGgGUA6NLw09EwE0CqkOc4q9oUmW1yo/edit?usp=sharing"",""เชียงใหม่!J221"")"),1)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IFERROR(__xludf.DUMMYFUNCTION("IMPORTRANGE(""https://docs.google.com/spreadsheets/d/11923uPwbBZFjjGgGUA6NLw09EwE0CqkOc4q9oUmW1yo/edit?usp=sharing"",""เชียงใหม่!J222"")"),1)</f>
        <v>1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IFERROR(__xludf.DUMMYFUNCTION("IMPORTRANGE(""https://docs.google.com/spreadsheets/d/11923uPwbBZFjjGgGUA6NLw09EwE0CqkOc4q9oUmW1yo/edit?usp=sharing"",""เชียงใหม่!J223"")"),1)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IFERROR(__xludf.DUMMYFUNCTION("IMPORTRANGE(""https://docs.google.com/spreadsheets/d/11923uPwbBZFjjGgGUA6NLw09EwE0CqkOc4q9oUmW1yo/edit?usp=sharing"",""เชียงใหม่!I224"")"),6)</f>
        <v>6</v>
      </c>
      <c r="J324" s="203">
        <f ca="1">IFERROR(__xludf.DUMMYFUNCTION("IMPORTRANGE(""https://docs.google.com/spreadsheets/d/11923uPwbBZFjjGgGUA6NLw09EwE0CqkOc4q9oUmW1yo/edit?usp=sharing"",""เชียงใหม่!J224"")"),6)</f>
        <v>6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IFERROR(__xludf.DUMMYFUNCTION("IMPORTRANGE(""https://docs.google.com/spreadsheets/d/11923uPwbBZFjjGgGUA6NLw09EwE0CqkOc4q9oUmW1yo/edit?usp=sharing"",""เชียงใหม่!J225"")"),0)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IFERROR(__xludf.DUMMYFUNCTION("IMPORTRANGE(""https://docs.google.com/spreadsheets/d/11923uPwbBZFjjGgGUA6NLw09EwE0CqkOc4q9oUmW1yo/edit?usp=sharing"",""เชียงใหม่!J226"")"),0)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IFERROR(__xludf.DUMMYFUNCTION("IMPORTRANGE(""https://docs.google.com/spreadsheets/d/11923uPwbBZFjjGgGUA6NLw09EwE0CqkOc4q9oUmW1yo/edit?usp=sharing"",""เชียงใหม่!I228"")"),315)</f>
        <v>315</v>
      </c>
      <c r="J328" s="339">
        <f ca="1">IFERROR(__xludf.DUMMYFUNCTION("IMPORTRANGE(""https://docs.google.com/spreadsheets/d/11923uPwbBZFjjGgGUA6NLw09EwE0CqkOc4q9oUmW1yo/edit?usp=sharing"",""เชียงใหม่!J228"")"),76)</f>
        <v>76</v>
      </c>
      <c r="K328" s="317">
        <f ca="1">IF(I328&gt;0,J328*100/I328,0)</f>
        <v>24.126984126984127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845280</v>
      </c>
      <c r="M329" s="152">
        <f t="shared" ca="1" si="98"/>
        <v>628760</v>
      </c>
      <c r="N329" s="152">
        <f t="shared" ca="1" si="98"/>
        <v>503365.16</v>
      </c>
      <c r="O329" s="151">
        <f t="shared" ref="O329:O331" ca="1" si="99">IF(L329&gt;0,N329*100/L329,0)</f>
        <v>59.550108839674429</v>
      </c>
      <c r="P329" s="151">
        <f t="shared" ref="P329:P331" ca="1" si="100">IF(M329&gt;0,N329*100/M329,0)</f>
        <v>80.056803867930526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845280</v>
      </c>
      <c r="M331" s="88">
        <f t="shared" ca="1" si="102"/>
        <v>628760</v>
      </c>
      <c r="N331" s="88">
        <f t="shared" ca="1" si="102"/>
        <v>503365.16</v>
      </c>
      <c r="O331" s="156">
        <f t="shared" ca="1" si="99"/>
        <v>59.550108839674429</v>
      </c>
      <c r="P331" s="156">
        <f t="shared" ca="1" si="100"/>
        <v>80.056803867930526</v>
      </c>
    </row>
    <row r="332" spans="1:16" ht="21.75" customHeight="1" x14ac:dyDescent="0.45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802280</v>
      </c>
      <c r="M333" s="167">
        <f ca="1">IFERROR(__xludf.DUMMYFUNCTION("IMPORTRANGE(""https://docs.google.com/spreadsheets/d/1Yj_ptqi66GCucihVvJfMjLAmec39IyEx_6qawtMGysU/edit?usp=sharing"",""สบก!DL22"")"),585760)</f>
        <v>585760</v>
      </c>
      <c r="N333" s="168">
        <f ca="1">IFERROR(__xludf.DUMMYFUNCTION("IMPORTRANGE(""https://docs.google.com/spreadsheets/d/1Yj_ptqi66GCucihVvJfMjLAmec39IyEx_6qawtMGysU/edit?usp=sharing"",""สบก!DM22"")"),460365.16)</f>
        <v>460365.16</v>
      </c>
      <c r="O333" s="168">
        <f ca="1">IF(L333&gt;0,N333*100/L333,0)</f>
        <v>57.382105997905967</v>
      </c>
      <c r="P333" s="168">
        <f ca="1">IF(M333&gt;0,N333*100/M333,0)</f>
        <v>78.592795684239277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IFERROR(__xludf.DUMMYFUNCTION("IMPORTRANGE(""https://docs.google.com/spreadsheets/d/1Yj_ptqi66GCucihVvJfMjLAmec39IyEx_6qawtMGysU/edit?usp=sharing"",""สบก!DH22"")"),471600)</f>
        <v>471600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IFERROR(__xludf.DUMMYFUNCTION("IMPORTRANGE(""https://docs.google.com/spreadsheets/d/1Yj_ptqi66GCucihVvJfMjLAmec39IyEx_6qawtMGysU/edit?usp=sharing"",""สบก!DI22"")"),330680)</f>
        <v>330680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IFERROR(__xludf.DUMMYFUNCTION("IMPORTRANGE(""https://docs.google.com/spreadsheets/d/1Yj_ptqi66GCucihVvJfMjLAmec39IyEx_6qawtMGysU/edit?usp=sharing"",""สบก!DJ22"")"),43000)</f>
        <v>43000</v>
      </c>
      <c r="M337" s="50">
        <f ca="1">L337</f>
        <v>43000</v>
      </c>
      <c r="N337" s="50">
        <f ca="1">IFERROR(__xludf.DUMMYFUNCTION("IMPORTRANGE(""https://docs.google.com/spreadsheets/d/1Yj_ptqi66GCucihVvJfMjLAmec39IyEx_6qawtMGysU/edit?usp=sharing"",""สบก!DN22"")"),43000)</f>
        <v>43000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IFERROR(__xludf.DUMMYFUNCTION("IMPORTRANGE(""https://docs.google.com/spreadsheets/d/11923uPwbBZFjjGgGUA6NLw09EwE0CqkOc4q9oUmW1yo/edit?usp=sharing"",""เชียงใหม่!I234"")"),0)</f>
        <v>0</v>
      </c>
      <c r="J339" s="187">
        <f ca="1">IFERROR(__xludf.DUMMYFUNCTION("IMPORTRANGE(""https://docs.google.com/spreadsheets/d/11923uPwbBZFjjGgGUA6NLw09EwE0CqkOc4q9oUmW1yo/edit?usp=sharing"",""เชียงใหม่!J234"")"),143)</f>
        <v>143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IFERROR(__xludf.DUMMYFUNCTION("IMPORTRANGE(""https://docs.google.com/spreadsheets/d/11923uPwbBZFjjGgGUA6NLw09EwE0CqkOc4q9oUmW1yo/edit?usp=sharing"",""เชียงใหม่!I235"")"),1060)</f>
        <v>1060</v>
      </c>
      <c r="J340" s="187">
        <f ca="1">IFERROR(__xludf.DUMMYFUNCTION("IMPORTRANGE(""https://docs.google.com/spreadsheets/d/11923uPwbBZFjjGgGUA6NLw09EwE0CqkOc4q9oUmW1yo/edit?usp=sharing"",""เชียงใหม่!J235"")"),675.719999999999)</f>
        <v>675.719999999999</v>
      </c>
      <c r="K340" s="342">
        <f t="shared" ca="1" si="103"/>
        <v>63.74716981132066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IFERROR(__xludf.DUMMYFUNCTION("IMPORTRANGE(""https://docs.google.com/spreadsheets/d/11923uPwbBZFjjGgGUA6NLw09EwE0CqkOc4q9oUmW1yo/edit?usp=sharing"",""เชียงใหม่!I236"")"),315)</f>
        <v>315</v>
      </c>
      <c r="J341" s="187">
        <f ca="1">IFERROR(__xludf.DUMMYFUNCTION("IMPORTRANGE(""https://docs.google.com/spreadsheets/d/11923uPwbBZFjjGgGUA6NLw09EwE0CqkOc4q9oUmW1yo/edit?usp=sharing"",""เชียงใหม่!J236"")"),201)</f>
        <v>201</v>
      </c>
      <c r="K341" s="342">
        <f t="shared" ca="1" si="103"/>
        <v>63.80952380952381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IFERROR(__xludf.DUMMYFUNCTION("IMPORTRANGE(""https://docs.google.com/spreadsheets/d/11923uPwbBZFjjGgGUA6NLw09EwE0CqkOc4q9oUmW1yo/edit?usp=sharing"",""เชียงใหม่!I237"")"),0)</f>
        <v>0</v>
      </c>
      <c r="J342" s="187">
        <f ca="1">IFERROR(__xludf.DUMMYFUNCTION("IMPORTRANGE(""https://docs.google.com/spreadsheets/d/11923uPwbBZFjjGgGUA6NLw09EwE0CqkOc4q9oUmW1yo/edit?usp=sharing"",""เชียงใหม่!J237"")"),1087.94)</f>
        <v>1087.94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IFERROR(__xludf.DUMMYFUNCTION("IMPORTRANGE(""https://docs.google.com/spreadsheets/d/11923uPwbBZFjjGgGUA6NLw09EwE0CqkOc4q9oUmW1yo/edit?usp=sharing"",""เชียงใหม่!I238"")"),315)</f>
        <v>315</v>
      </c>
      <c r="J343" s="187">
        <f ca="1">IFERROR(__xludf.DUMMYFUNCTION("IMPORTRANGE(""https://docs.google.com/spreadsheets/d/11923uPwbBZFjjGgGUA6NLw09EwE0CqkOc4q9oUmW1yo/edit?usp=sharing"",""เชียงใหม่!J238"")"),0)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IFERROR(__xludf.DUMMYFUNCTION("IMPORTRANGE(""https://docs.google.com/spreadsheets/d/11923uPwbBZFjjGgGUA6NLw09EwE0CqkOc4q9oUmW1yo/edit?usp=sharing"",""เชียงใหม่!I239"")"),0)</f>
        <v>0</v>
      </c>
      <c r="J344" s="187">
        <f ca="1">IFERROR(__xludf.DUMMYFUNCTION("IMPORTRANGE(""https://docs.google.com/spreadsheets/d/11923uPwbBZFjjGgGUA6NLw09EwE0CqkOc4q9oUmW1yo/edit?usp=sharing"",""เชียงใหม่!J239"")"),0)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IFERROR(__xludf.DUMMYFUNCTION("IMPORTRANGE(""https://docs.google.com/spreadsheets/d/11923uPwbBZFjjGgGUA6NLw09EwE0CqkOc4q9oUmW1yo/edit?usp=sharing"",""เชียงใหม่!I240"")"),315)</f>
        <v>315</v>
      </c>
      <c r="J345" s="187">
        <f ca="1">IFERROR(__xludf.DUMMYFUNCTION("IMPORTRANGE(""https://docs.google.com/spreadsheets/d/11923uPwbBZFjjGgGUA6NLw09EwE0CqkOc4q9oUmW1yo/edit?usp=sharing"",""เชียงใหม่!J240"")"),76)</f>
        <v>76</v>
      </c>
      <c r="K345" s="342">
        <f t="shared" ca="1" si="103"/>
        <v>24.126984126984127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IFERROR(__xludf.DUMMYFUNCTION("IMPORTRANGE(""https://docs.google.com/spreadsheets/d/11923uPwbBZFjjGgGUA6NLw09EwE0CqkOc4q9oUmW1yo/edit?usp=sharing"",""เชียงใหม่!I241"")"),0)</f>
        <v>0</v>
      </c>
      <c r="J346" s="187">
        <f ca="1">IFERROR(__xludf.DUMMYFUNCTION("IMPORTRANGE(""https://docs.google.com/spreadsheets/d/11923uPwbBZFjjGgGUA6NLw09EwE0CqkOc4q9oUmW1yo/edit?usp=sharing"",""เชียงใหม่!J241"")"),395.8)</f>
        <v>395.8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IFERROR(__xludf.DUMMYFUNCTION("IMPORTRANGE(""https://docs.google.com/spreadsheets/d/11923uPwbBZFjjGgGUA6NLw09EwE0CqkOc4q9oUmW1yo/edit?usp=sharing"",""เชียงใหม่!L242"")"),2619379)</f>
        <v>2619379</v>
      </c>
      <c r="M347" s="357"/>
      <c r="N347" s="357">
        <f ca="1">IFERROR(__xludf.DUMMYFUNCTION("IMPORTRANGE(""https://docs.google.com/spreadsheets/d/11923uPwbBZFjjGgGUA6NLw09EwE0CqkOc4q9oUmW1yo/edit?usp=sharing"",""เชียงใหม่!M242"")"),1103754.33)</f>
        <v>1103754.33</v>
      </c>
      <c r="O347" s="357">
        <f ca="1">+IF(L347&gt;0,N347*100/L347,0)</f>
        <v>42.138015537270476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IFERROR(__xludf.DUMMYFUNCTION("IMPORTRANGE(""https://docs.google.com/spreadsheets/d/11923uPwbBZFjjGgGUA6NLw09EwE0CqkOc4q9oUmW1yo/edit?usp=sharing"",""เชียงใหม่!I244"")"),100)</f>
        <v>100</v>
      </c>
      <c r="J349" s="370">
        <f ca="1">IFERROR(__xludf.DUMMYFUNCTION("IMPORTRANGE(""https://docs.google.com/spreadsheets/d/11923uPwbBZFjjGgGUA6NLw09EwE0CqkOc4q9oUmW1yo/edit?usp=sharing"",""เชียงใหม่!J244"")"),100)</f>
        <v>100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IFERROR(__xludf.DUMMYFUNCTION("IMPORTRANGE(""https://docs.google.com/spreadsheets/d/11923uPwbBZFjjGgGUA6NLw09EwE0CqkOc4q9oUmW1yo/edit?usp=sharing"",""เชียงใหม่!L244"")"),317760)</f>
        <v>317760</v>
      </c>
      <c r="M349" s="372"/>
      <c r="N349" s="372">
        <f ca="1">IFERROR(__xludf.DUMMYFUNCTION("IMPORTRANGE(""https://docs.google.com/spreadsheets/d/11923uPwbBZFjjGgGUA6NLw09EwE0CqkOc4q9oUmW1yo/edit?usp=sharing"",""เชียงใหม่!M244"")"),236792.58)</f>
        <v>236792.58</v>
      </c>
      <c r="O349" s="372">
        <f ca="1">+IF(L349&gt;0,N349*100/L349,0)</f>
        <v>74.519316465256793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IFERROR(__xludf.DUMMYFUNCTION("IMPORTRANGE(""https://docs.google.com/spreadsheets/d/11923uPwbBZFjjGgGUA6NLw09EwE0CqkOc4q9oUmW1yo/edit?usp=sharing"",""เชียงใหม่!I245"")"),40)</f>
        <v>40</v>
      </c>
      <c r="J350" s="370">
        <f ca="1">IFERROR(__xludf.DUMMYFUNCTION("IMPORTRANGE(""https://docs.google.com/spreadsheets/d/11923uPwbBZFjjGgGUA6NLw09EwE0CqkOc4q9oUmW1yo/edit?usp=sharing"",""เชียงใหม่!J245"")"),40)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IFERROR(__xludf.DUMMYFUNCTION("IMPORTRANGE(""https://docs.google.com/spreadsheets/d/11923uPwbBZFjjGgGUA6NLw09EwE0CqkOc4q9oUmW1yo/edit?usp=sharing"",""เชียงใหม่!L246"")"),0)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IFERROR(__xludf.DUMMYFUNCTION("IMPORTRANGE(""https://docs.google.com/spreadsheets/d/11923uPwbBZFjjGgGUA6NLw09EwE0CqkOc4q9oUmW1yo/edit?usp=sharing"",""เชียงใหม่!M246"")"),0)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IFERROR(__xludf.DUMMYFUNCTION("IMPORTRANGE(""https://docs.google.com/spreadsheets/d/11923uPwbBZFjjGgGUA6NLw09EwE0CqkOc4q9oUmW1yo/edit?usp=sharing"",""เชียงใหม่!L247"")"),317760)</f>
        <v>317760</v>
      </c>
      <c r="M352" s="165"/>
      <c r="N352" s="164">
        <f ca="1">IFERROR(__xludf.DUMMYFUNCTION("IMPORTRANGE(""https://docs.google.com/spreadsheets/d/11923uPwbBZFjjGgGUA6NLw09EwE0CqkOc4q9oUmW1yo/edit?usp=sharing"",""เชียงใหม่!M247"")"),236792.58)</f>
        <v>236792.58</v>
      </c>
      <c r="O352" s="165">
        <f t="shared" ca="1" si="105"/>
        <v>74.519316465256793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IFERROR(__xludf.DUMMYFUNCTION("IMPORTRANGE(""https://docs.google.com/spreadsheets/d/11923uPwbBZFjjGgGUA6NLw09EwE0CqkOc4q9oUmW1yo/edit?usp=sharing"",""เชียงใหม่!L248"")"),0)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IFERROR(__xludf.DUMMYFUNCTION("IMPORTRANGE(""https://docs.google.com/spreadsheets/d/11923uPwbBZFjjGgGUA6NLw09EwE0CqkOc4q9oUmW1yo/edit?usp=sharing"",""เชียงใหม่!M248"")"),0)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IFERROR(__xludf.DUMMYFUNCTION("IMPORTRANGE(""https://docs.google.com/spreadsheets/d/11923uPwbBZFjjGgGUA6NLw09EwE0CqkOc4q9oUmW1yo/edit?usp=sharing"",""เชียงใหม่!L249"")"),317760)</f>
        <v>317760</v>
      </c>
      <c r="M354" s="168"/>
      <c r="N354" s="167">
        <f ca="1">IFERROR(__xludf.DUMMYFUNCTION("IMPORTRANGE(""https://docs.google.com/spreadsheets/d/11923uPwbBZFjjGgGUA6NLw09EwE0CqkOc4q9oUmW1yo/edit?usp=sharing"",""เชียงใหม่!M249"")"),236792.58)</f>
        <v>236792.58</v>
      </c>
      <c r="O354" s="168">
        <f t="shared" ca="1" si="105"/>
        <v>74.519316465256793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IFERROR(__xludf.DUMMYFUNCTION("IMPORTRANGE(""https://docs.google.com/spreadsheets/d/11923uPwbBZFjjGgGUA6NLw09EwE0CqkOc4q9oUmW1yo/edit?usp=sharing"",""เชียงใหม่!M250"")"),50400)</f>
        <v>50400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IFERROR(__xludf.DUMMYFUNCTION("IMPORTRANGE(""https://docs.google.com/spreadsheets/d/11923uPwbBZFjjGgGUA6NLw09EwE0CqkOc4q9oUmW1yo/edit?usp=sharing"",""เชียงใหม่!M251"")"),89600)</f>
        <v>89600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IFERROR(__xludf.DUMMYFUNCTION("IMPORTRANGE(""https://docs.google.com/spreadsheets/d/11923uPwbBZFjjGgGUA6NLw09EwE0CqkOc4q9oUmW1yo/edit?usp=sharing"",""เชียงใหม่!M252"")"),90225.58)</f>
        <v>90225.58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IFERROR(__xludf.DUMMYFUNCTION("IMPORTRANGE(""https://docs.google.com/spreadsheets/d/11923uPwbBZFjjGgGUA6NLw09EwE0CqkOc4q9oUmW1yo/edit?usp=sharing"",""เชียงใหม่!M253"")"),6567)</f>
        <v>6567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IFERROR(__xludf.DUMMYFUNCTION("IMPORTRANGE(""https://docs.google.com/spreadsheets/d/11923uPwbBZFjjGgGUA6NLw09EwE0CqkOc4q9oUmW1yo/edit?usp=sharing"",""เชียงใหม่!J255"")"),0)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IFERROR(__xludf.DUMMYFUNCTION("IMPORTRANGE(""https://docs.google.com/spreadsheets/d/11923uPwbBZFjjGgGUA6NLw09EwE0CqkOc4q9oUmW1yo/edit?usp=sharing"",""เชียงใหม่!J256"")"),1)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IFERROR(__xludf.DUMMYFUNCTION("IMPORTRANGE(""https://docs.google.com/spreadsheets/d/11923uPwbBZFjjGgGUA6NLw09EwE0CqkOc4q9oUmW1yo/edit?usp=sharing"",""เชียงใหม่!J257"")"),1)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IFERROR(__xludf.DUMMYFUNCTION("IMPORTRANGE(""https://docs.google.com/spreadsheets/d/11923uPwbBZFjjGgGUA6NLw09EwE0CqkOc4q9oUmW1yo/edit?usp=sharing"",""เชียงใหม่!J258"")"),1)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IFERROR(__xludf.DUMMYFUNCTION("IMPORTRANGE(""https://docs.google.com/spreadsheets/d/11923uPwbBZFjjGgGUA6NLw09EwE0CqkOc4q9oUmW1yo/edit?usp=sharing"",""เชียงใหม่!J166"")"),0)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IFERROR(__xludf.DUMMYFUNCTION("IMPORTRANGE(""https://docs.google.com/spreadsheets/d/11923uPwbBZFjjGgGUA6NLw09EwE0CqkOc4q9oUmW1yo/edit?usp=sharing"",""เชียงใหม่!J166"")"),0)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IFERROR(__xludf.DUMMYFUNCTION("IMPORTRANGE(""https://docs.google.com/spreadsheets/d/11923uPwbBZFjjGgGUA6NLw09EwE0CqkOc4q9oUmW1yo/edit?usp=sharing"",""เชียงใหม่!J166"")"),0)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IFERROR(__xludf.DUMMYFUNCTION("IMPORTRANGE(""https://docs.google.com/spreadsheets/d/11923uPwbBZFjjGgGUA6NLw09EwE0CqkOc4q9oUmW1yo/edit?usp=sharing"",""เชียงใหม่!J166"")"),0)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IFERROR(__xludf.DUMMYFUNCTION("IMPORTRANGE(""https://docs.google.com/spreadsheets/d/11923uPwbBZFjjGgGUA6NLw09EwE0CqkOc4q9oUmW1yo/edit?usp=sharing"",""เชียงใหม่!I263"")"),40)</f>
        <v>40</v>
      </c>
      <c r="J368" s="187">
        <f ca="1">IFERROR(__xludf.DUMMYFUNCTION("IMPORTRANGE(""https://docs.google.com/spreadsheets/d/11923uPwbBZFjjGgGUA6NLw09EwE0CqkOc4q9oUmW1yo/edit?usp=sharing"",""เชียงใหม่!J263"")"),40)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IFERROR(__xludf.DUMMYFUNCTION("IMPORTRANGE(""https://docs.google.com/spreadsheets/d/11923uPwbBZFjjGgGUA6NLw09EwE0CqkOc4q9oUmW1yo/edit?usp=sharing"",""เชียงใหม่!I164"")"),0)</f>
        <v>0</v>
      </c>
      <c r="J369" s="203">
        <f ca="1">IFERROR(__xludf.DUMMYFUNCTION("IMPORTRANGE(""https://docs.google.com/spreadsheets/d/11923uPwbBZFjjGgGUA6NLw09EwE0CqkOc4q9oUmW1yo/edit?usp=sharing"",""เชียงใหม่!J164"")"),0)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IFERROR(__xludf.DUMMYFUNCTION("IMPORTRANGE(""https://docs.google.com/spreadsheets/d/11923uPwbBZFjjGgGUA6NLw09EwE0CqkOc4q9oUmW1yo/edit?usp=sharing"",""เชียงใหม่!I265"")"),40)</f>
        <v>40</v>
      </c>
      <c r="J370" s="203">
        <f ca="1">IFERROR(__xludf.DUMMYFUNCTION("IMPORTRANGE(""https://docs.google.com/spreadsheets/d/11923uPwbBZFjjGgGUA6NLw09EwE0CqkOc4q9oUmW1yo/edit?usp=sharing"",""เชียงใหม่!J265"")"),40)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IFERROR(__xludf.DUMMYFUNCTION("IMPORTRANGE(""https://docs.google.com/spreadsheets/d/11923uPwbBZFjjGgGUA6NLw09EwE0CqkOc4q9oUmW1yo/edit?usp=sharing"",""เชียงใหม่!I164"")"),0)</f>
        <v>0</v>
      </c>
      <c r="J371" s="188">
        <f ca="1">IFERROR(__xludf.DUMMYFUNCTION("IMPORTRANGE(""https://docs.google.com/spreadsheets/d/11923uPwbBZFjjGgGUA6NLw09EwE0CqkOc4q9oUmW1yo/edit?usp=sharing"",""เชียงใหม่!J164"")"),0)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IFERROR(__xludf.DUMMYFUNCTION("IMPORTRANGE(""https://docs.google.com/spreadsheets/d/11923uPwbBZFjjGgGUA6NLw09EwE0CqkOc4q9oUmW1yo/edit?usp=sharing"",""เชียงใหม่!I267"")"),40)</f>
        <v>40</v>
      </c>
      <c r="J372" s="188">
        <f ca="1">IFERROR(__xludf.DUMMYFUNCTION("IMPORTRANGE(""https://docs.google.com/spreadsheets/d/11923uPwbBZFjjGgGUA6NLw09EwE0CqkOc4q9oUmW1yo/edit?usp=sharing"",""เชียงใหม่!J267"")"),40)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IFERROR(__xludf.DUMMYFUNCTION("IMPORTRANGE(""https://docs.google.com/spreadsheets/d/11923uPwbBZFjjGgGUA6NLw09EwE0CqkOc4q9oUmW1yo/edit?usp=sharing"",""เชียงใหม่!I164"")"),0)</f>
        <v>0</v>
      </c>
      <c r="J373" s="203">
        <f ca="1">IFERROR(__xludf.DUMMYFUNCTION("IMPORTRANGE(""https://docs.google.com/spreadsheets/d/11923uPwbBZFjjGgGUA6NLw09EwE0CqkOc4q9oUmW1yo/edit?usp=sharing"",""เชียงใหม่!J164"")"),0)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IFERROR(__xludf.DUMMYFUNCTION("IMPORTRANGE(""https://docs.google.com/spreadsheets/d/11923uPwbBZFjjGgGUA6NLw09EwE0CqkOc4q9oUmW1yo/edit?usp=sharing"",""เชียงใหม่!I164"")"),0)</f>
        <v>0</v>
      </c>
      <c r="J374" s="187">
        <f ca="1">IFERROR(__xludf.DUMMYFUNCTION("IMPORTRANGE(""https://docs.google.com/spreadsheets/d/11923uPwbBZFjjGgGUA6NLw09EwE0CqkOc4q9oUmW1yo/edit?usp=sharing"",""เชียงใหม่!J164"")"),0)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IFERROR(__xludf.DUMMYFUNCTION("IMPORTRANGE(""https://docs.google.com/spreadsheets/d/11923uPwbBZFjjGgGUA6NLw09EwE0CqkOc4q9oUmW1yo/edit?usp=sharing"",""เชียงใหม่!I270"")"),100)</f>
        <v>100</v>
      </c>
      <c r="J375" s="187">
        <f ca="1">IFERROR(__xludf.DUMMYFUNCTION("IMPORTRANGE(""https://docs.google.com/spreadsheets/d/11923uPwbBZFjjGgGUA6NLw09EwE0CqkOc4q9oUmW1yo/edit?usp=sharing"",""เชียงใหม่!J270"")"),100)</f>
        <v>100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IFERROR(__xludf.DUMMYFUNCTION("IMPORTRANGE(""https://docs.google.com/spreadsheets/d/11923uPwbBZFjjGgGUA6NLw09EwE0CqkOc4q9oUmW1yo/edit?usp=sharing"",""เชียงใหม่!I271"")"),32)</f>
        <v>32</v>
      </c>
      <c r="J376" s="188">
        <f ca="1">IFERROR(__xludf.DUMMYFUNCTION("IMPORTRANGE(""https://docs.google.com/spreadsheets/d/11923uPwbBZFjjGgGUA6NLw09EwE0CqkOc4q9oUmW1yo/edit?usp=sharing"",""เชียงใหม่!J271"")"),32)</f>
        <v>32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IFERROR(__xludf.DUMMYFUNCTION("IMPORTRANGE(""https://docs.google.com/spreadsheets/d/11923uPwbBZFjjGgGUA6NLw09EwE0CqkOc4q9oUmW1yo/edit?usp=sharing"",""เชียงใหม่!I272"")"),68)</f>
        <v>68</v>
      </c>
      <c r="J377" s="203">
        <f ca="1">IFERROR(__xludf.DUMMYFUNCTION("IMPORTRANGE(""https://docs.google.com/spreadsheets/d/11923uPwbBZFjjGgGUA6NLw09EwE0CqkOc4q9oUmW1yo/edit?usp=sharing"",""เชียงใหม่!J272"")"),68)</f>
        <v>68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IFERROR(__xludf.DUMMYFUNCTION("IMPORTRANGE(""https://docs.google.com/spreadsheets/d/11923uPwbBZFjjGgGUA6NLw09EwE0CqkOc4q9oUmW1yo/edit?usp=sharing"",""เชียงใหม่!J273"")"),0)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IFERROR(__xludf.DUMMYFUNCTION("IMPORTRANGE(""https://docs.google.com/spreadsheets/d/11923uPwbBZFjjGgGUA6NLw09EwE0CqkOc4q9oUmW1yo/edit?usp=sharing"",""เชียงใหม่!J274"")"),0)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IFERROR(__xludf.DUMMYFUNCTION("IMPORTRANGE(""https://docs.google.com/spreadsheets/d/11923uPwbBZFjjGgGUA6NLw09EwE0CqkOc4q9oUmW1yo/edit?usp=sharing"",""เชียงใหม่!I275"")"),1000)</f>
        <v>1000</v>
      </c>
      <c r="J380" s="370">
        <f ca="1">IFERROR(__xludf.DUMMYFUNCTION("IMPORTRANGE(""https://docs.google.com/spreadsheets/d/11923uPwbBZFjjGgGUA6NLw09EwE0CqkOc4q9oUmW1yo/edit?usp=sharing"",""เชียงใหม่!J275"")"),0)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IFERROR(__xludf.DUMMYFUNCTION("IMPORTRANGE(""https://docs.google.com/spreadsheets/d/11923uPwbBZFjjGgGUA6NLw09EwE0CqkOc4q9oUmW1yo/edit?usp=sharing"",""เชียงใหม่!L275"")"),1028520)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IFERROR(__xludf.DUMMYFUNCTION("IMPORTRANGE(""https://docs.google.com/spreadsheets/d/11923uPwbBZFjjGgGUA6NLw09EwE0CqkOc4q9oUmW1yo/edit?usp=sharing"",""เชียงใหม่!M275"")"),250702.58)</f>
        <v>250702.58</v>
      </c>
      <c r="O380" s="372">
        <f ca="1">+IF(L380&gt;0,N380*100/L380,0)</f>
        <v>24.375080698479369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IFERROR(__xludf.DUMMYFUNCTION("IMPORTRANGE(""https://docs.google.com/spreadsheets/d/11923uPwbBZFjjGgGUA6NLw09EwE0CqkOc4q9oUmW1yo/edit?usp=sharing"",""เชียงใหม่!I276"")"),100)</f>
        <v>100</v>
      </c>
      <c r="J381" s="370">
        <f ca="1">IFERROR(__xludf.DUMMYFUNCTION("IMPORTRANGE(""https://docs.google.com/spreadsheets/d/11923uPwbBZFjjGgGUA6NLw09EwE0CqkOc4q9oUmW1yo/edit?usp=sharing"",""เชียงใหม่!J276"")"),100)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IFERROR(__xludf.DUMMYFUNCTION("IMPORTRANGE(""https://docs.google.com/spreadsheets/d/11923uPwbBZFjjGgGUA6NLw09EwE0CqkOc4q9oUmW1yo/edit?usp=sharing"",""เชียงใหม่!L277"")"),0)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IFERROR(__xludf.DUMMYFUNCTION("IMPORTRANGE(""https://docs.google.com/spreadsheets/d/11923uPwbBZFjjGgGUA6NLw09EwE0CqkOc4q9oUmW1yo/edit?usp=sharing"",""เชียงใหม่!M277"")"),0)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IFERROR(__xludf.DUMMYFUNCTION("IMPORTRANGE(""https://docs.google.com/spreadsheets/d/11923uPwbBZFjjGgGUA6NLw09EwE0CqkOc4q9oUmW1yo/edit?usp=sharing"",""เชียงใหม่!L278"")"),1028520)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IFERROR(__xludf.DUMMYFUNCTION("IMPORTRANGE(""https://docs.google.com/spreadsheets/d/11923uPwbBZFjjGgGUA6NLw09EwE0CqkOc4q9oUmW1yo/edit?usp=sharing"",""เชียงใหม่!M278"")"),250702.58)</f>
        <v>250702.58</v>
      </c>
      <c r="O383" s="165">
        <f t="shared" ca="1" si="109"/>
        <v>24.375080698479369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IFERROR(__xludf.DUMMYFUNCTION("IMPORTRANGE(""https://docs.google.com/spreadsheets/d/11923uPwbBZFjjGgGUA6NLw09EwE0CqkOc4q9oUmW1yo/edit?usp=sharing"",""เชียงใหม่!L279"")"),0)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IFERROR(__xludf.DUMMYFUNCTION("IMPORTRANGE(""https://docs.google.com/spreadsheets/d/11923uPwbBZFjjGgGUA6NLw09EwE0CqkOc4q9oUmW1yo/edit?usp=sharing"",""เชียงใหม่!M279"")"),0)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IFERROR(__xludf.DUMMYFUNCTION("IMPORTRANGE(""https://docs.google.com/spreadsheets/d/11923uPwbBZFjjGgGUA6NLw09EwE0CqkOc4q9oUmW1yo/edit?usp=sharing"",""เชียงใหม่!L280"")"),1028520)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IFERROR(__xludf.DUMMYFUNCTION("IMPORTRANGE(""https://docs.google.com/spreadsheets/d/11923uPwbBZFjjGgGUA6NLw09EwE0CqkOc4q9oUmW1yo/edit?usp=sharing"",""เชียงใหม่!M280"")"),250702.58)</f>
        <v>250702.58</v>
      </c>
      <c r="O385" s="168">
        <f t="shared" ca="1" si="109"/>
        <v>24.375080698479369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IFERROR(__xludf.DUMMYFUNCTION("IMPORTRANGE(""https://docs.google.com/spreadsheets/d/11923uPwbBZFjjGgGUA6NLw09EwE0CqkOc4q9oUmW1yo/edit?usp=sharing"",""เชียงใหม่!M281"")"),151060)</f>
        <v>151060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IFERROR(__xludf.DUMMYFUNCTION("IMPORTRANGE(""https://docs.google.com/spreadsheets/d/11923uPwbBZFjjGgGUA6NLw09EwE0CqkOc4q9oUmW1yo/edit?usp=sharing"",""เชียงใหม่!M282"")"),0)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IFERROR(__xludf.DUMMYFUNCTION("IMPORTRANGE(""https://docs.google.com/spreadsheets/d/11923uPwbBZFjjGgGUA6NLw09EwE0CqkOc4q9oUmW1yo/edit?usp=sharing"",""เชียงใหม่!M283"")"),90225.58)</f>
        <v>90225.58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IFERROR(__xludf.DUMMYFUNCTION("IMPORTRANGE(""https://docs.google.com/spreadsheets/d/11923uPwbBZFjjGgGUA6NLw09EwE0CqkOc4q9oUmW1yo/edit?usp=sharing"",""เชียงใหม่!M284"")"),9417)</f>
        <v>9417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IFERROR(__xludf.DUMMYFUNCTION("IMPORTRANGE(""https://docs.google.com/spreadsheets/d/11923uPwbBZFjjGgGUA6NLw09EwE0CqkOc4q9oUmW1yo/edit?usp=sharing"",""เชียงใหม่!J286"")"),0)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IFERROR(__xludf.DUMMYFUNCTION("IMPORTRANGE(""https://docs.google.com/spreadsheets/d/11923uPwbBZFjjGgGUA6NLw09EwE0CqkOc4q9oUmW1yo/edit?usp=sharing"",""เชียงใหม่!J287"")"),1)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IFERROR(__xludf.DUMMYFUNCTION("IMPORTRANGE(""https://docs.google.com/spreadsheets/d/11923uPwbBZFjjGgGUA6NLw09EwE0CqkOc4q9oUmW1yo/edit?usp=sharing"",""เชียงใหม่!J288"")"),1)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IFERROR(__xludf.DUMMYFUNCTION("IMPORTRANGE(""https://docs.google.com/spreadsheets/d/11923uPwbBZFjjGgGUA6NLw09EwE0CqkOc4q9oUmW1yo/edit?usp=sharing"",""เชียงใหม่!J289"")"),1)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IFERROR(__xludf.DUMMYFUNCTION("IMPORTRANGE(""https://docs.google.com/spreadsheets/d/11923uPwbBZFjjGgGUA6NLw09EwE0CqkOc4q9oUmW1yo/edit?usp=sharing"",""เชียงใหม่!I291"")"),100)</f>
        <v>100</v>
      </c>
      <c r="J396" s="197">
        <f ca="1">IFERROR(__xludf.DUMMYFUNCTION("IMPORTRANGE(""https://docs.google.com/spreadsheets/d/11923uPwbBZFjjGgGUA6NLw09EwE0CqkOc4q9oUmW1yo/edit?usp=sharing"",""เชียงใหม่!J291"")"),100)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IFERROR(__xludf.DUMMYFUNCTION("IMPORTRANGE(""https://docs.google.com/spreadsheets/d/11923uPwbBZFjjGgGUA6NLw09EwE0CqkOc4q9oUmW1yo/edit?usp=sharing"",""เชียงใหม่!I292"")"),1000)</f>
        <v>1000</v>
      </c>
      <c r="J397" s="197">
        <f ca="1">IFERROR(__xludf.DUMMYFUNCTION("IMPORTRANGE(""https://docs.google.com/spreadsheets/d/11923uPwbBZFjjGgGUA6NLw09EwE0CqkOc4q9oUmW1yo/edit?usp=sharing"",""เชียงใหม่!J292"")"),0)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IFERROR(__xludf.DUMMYFUNCTION("IMPORTRANGE(""https://docs.google.com/spreadsheets/d/11923uPwbBZFjjGgGUA6NLw09EwE0CqkOc4q9oUmW1yo/edit?usp=sharing"",""เชียงใหม่!I293"")"),100)</f>
        <v>100</v>
      </c>
      <c r="J398" s="197">
        <f ca="1">IFERROR(__xludf.DUMMYFUNCTION("IMPORTRANGE(""https://docs.google.com/spreadsheets/d/11923uPwbBZFjjGgGUA6NLw09EwE0CqkOc4q9oUmW1yo/edit?usp=sharing"",""เชียงใหม่!J293"")"),0)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IFERROR(__xludf.DUMMYFUNCTION("IMPORTRANGE(""https://docs.google.com/spreadsheets/d/11923uPwbBZFjjGgGUA6NLw09EwE0CqkOc4q9oUmW1yo/edit?usp=sharing"",""เชียงใหม่!J294"")"),0)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IFERROR(__xludf.DUMMYFUNCTION("IMPORTRANGE(""https://docs.google.com/spreadsheets/d/11923uPwbBZFjjGgGUA6NLw09EwE0CqkOc4q9oUmW1yo/edit?usp=sharing"",""เชียงใหม่!J295"")"),0)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IFERROR(__xludf.DUMMYFUNCTION("IMPORTRANGE(""https://docs.google.com/spreadsheets/d/11923uPwbBZFjjGgGUA6NLw09EwE0CqkOc4q9oUmW1yo/edit?usp=sharing"",""เชียงใหม่!I296"")"),105)</f>
        <v>105</v>
      </c>
      <c r="J401" s="370">
        <f ca="1">IFERROR(__xludf.DUMMYFUNCTION("IMPORTRANGE(""https://docs.google.com/spreadsheets/d/11923uPwbBZFjjGgGUA6NLw09EwE0CqkOc4q9oUmW1yo/edit?usp=sharing"",""เชียงใหม่!J296"")"),105)</f>
        <v>105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IFERROR(__xludf.DUMMYFUNCTION("IMPORTRANGE(""https://docs.google.com/spreadsheets/d/11923uPwbBZFjjGgGUA6NLw09EwE0CqkOc4q9oUmW1yo/edit?usp=sharing"",""เชียงใหม่!L296"")"),131710)</f>
        <v>131710</v>
      </c>
      <c r="M401" s="372"/>
      <c r="N401" s="372">
        <f ca="1">IFERROR(__xludf.DUMMYFUNCTION("IMPORTRANGE(""https://docs.google.com/spreadsheets/d/11923uPwbBZFjjGgGUA6NLw09EwE0CqkOc4q9oUmW1yo/edit?usp=sharing"",""เชียงใหม่!M296"")"),116695)</f>
        <v>116695</v>
      </c>
      <c r="O401" s="372">
        <f ca="1">+IF(L401&gt;0,N401*100/L401,0)</f>
        <v>88.599954445372404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IFERROR(__xludf.DUMMYFUNCTION("IMPORTRANGE(""https://docs.google.com/spreadsheets/d/11923uPwbBZFjjGgGUA6NLw09EwE0CqkOc4q9oUmW1yo/edit?usp=sharing"",""เชียงใหม่!I297"")"),35)</f>
        <v>35</v>
      </c>
      <c r="J402" s="370">
        <f ca="1">IFERROR(__xludf.DUMMYFUNCTION("IMPORTRANGE(""https://docs.google.com/spreadsheets/d/11923uPwbBZFjjGgGUA6NLw09EwE0CqkOc4q9oUmW1yo/edit?usp=sharing"",""เชียงใหม่!J297"")"),35)</f>
        <v>35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IFERROR(__xludf.DUMMYFUNCTION("IMPORTRANGE(""https://docs.google.com/spreadsheets/d/11923uPwbBZFjjGgGUA6NLw09EwE0CqkOc4q9oUmW1yo/edit?usp=sharing"",""เชียงใหม่!L298"")"),0)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IFERROR(__xludf.DUMMYFUNCTION("IMPORTRANGE(""https://docs.google.com/spreadsheets/d/11923uPwbBZFjjGgGUA6NLw09EwE0CqkOc4q9oUmW1yo/edit?usp=sharing"",""เชียงใหม่!M298"")"),0)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IFERROR(__xludf.DUMMYFUNCTION("IMPORTRANGE(""https://docs.google.com/spreadsheets/d/11923uPwbBZFjjGgGUA6NLw09EwE0CqkOc4q9oUmW1yo/edit?usp=sharing"",""เชียงใหม่!L299"")"),131710)</f>
        <v>131710</v>
      </c>
      <c r="M404" s="165"/>
      <c r="N404" s="168">
        <f ca="1">IFERROR(__xludf.DUMMYFUNCTION("IMPORTRANGE(""https://docs.google.com/spreadsheets/d/11923uPwbBZFjjGgGUA6NLw09EwE0CqkOc4q9oUmW1yo/edit?usp=sharing"",""เชียงใหม่!M299"")"),116695)</f>
        <v>116695</v>
      </c>
      <c r="O404" s="168">
        <f t="shared" ca="1" si="112"/>
        <v>88.599954445372404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IFERROR(__xludf.DUMMYFUNCTION("IMPORTRANGE(""https://docs.google.com/spreadsheets/d/11923uPwbBZFjjGgGUA6NLw09EwE0CqkOc4q9oUmW1yo/edit?usp=sharing"",""เชียงใหม่!L300"")"),0)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IFERROR(__xludf.DUMMYFUNCTION("IMPORTRANGE(""https://docs.google.com/spreadsheets/d/11923uPwbBZFjjGgGUA6NLw09EwE0CqkOc4q9oUmW1yo/edit?usp=sharing"",""เชียงใหม่!M300"")"),0)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IFERROR(__xludf.DUMMYFUNCTION("IMPORTRANGE(""https://docs.google.com/spreadsheets/d/11923uPwbBZFjjGgGUA6NLw09EwE0CqkOc4q9oUmW1yo/edit?usp=sharing"",""เชียงใหม่!L301"")"),131710)</f>
        <v>131710</v>
      </c>
      <c r="M406" s="168"/>
      <c r="N406" s="168">
        <f ca="1">IFERROR(__xludf.DUMMYFUNCTION("IMPORTRANGE(""https://docs.google.com/spreadsheets/d/11923uPwbBZFjjGgGUA6NLw09EwE0CqkOc4q9oUmW1yo/edit?usp=sharing"",""เชียงใหม่!M301"")"),116695)</f>
        <v>116695</v>
      </c>
      <c r="O406" s="168">
        <f t="shared" ca="1" si="112"/>
        <v>88.599954445372404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IFERROR(__xludf.DUMMYFUNCTION("IMPORTRANGE(""https://docs.google.com/spreadsheets/d/11923uPwbBZFjjGgGUA6NLw09EwE0CqkOc4q9oUmW1yo/edit?usp=sharing"",""เชียงใหม่!M302"")"),77225)</f>
        <v>77225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IFERROR(__xludf.DUMMYFUNCTION("IMPORTRANGE(""https://docs.google.com/spreadsheets/d/11923uPwbBZFjjGgGUA6NLw09EwE0CqkOc4q9oUmW1yo/edit?usp=sharing"",""เชียงใหม่!M303"")"),25500)</f>
        <v>25500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IFERROR(__xludf.DUMMYFUNCTION("IMPORTRANGE(""https://docs.google.com/spreadsheets/d/11923uPwbBZFjjGgGUA6NLw09EwE0CqkOc4q9oUmW1yo/edit?usp=sharing"",""เชียงใหม่!M304"")"),0)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IFERROR(__xludf.DUMMYFUNCTION("IMPORTRANGE(""https://docs.google.com/spreadsheets/d/11923uPwbBZFjjGgGUA6NLw09EwE0CqkOc4q9oUmW1yo/edit?usp=sharing"",""เชียงใหม่!M305"")"),13970)</f>
        <v>13970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IFERROR(__xludf.DUMMYFUNCTION("IMPORTRANGE(""https://docs.google.com/spreadsheets/d/11923uPwbBZFjjGgGUA6NLw09EwE0CqkOc4q9oUmW1yo/edit?usp=sharing"",""เชียงใหม่!J307"")"),0)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IFERROR(__xludf.DUMMYFUNCTION("IMPORTRANGE(""https://docs.google.com/spreadsheets/d/11923uPwbBZFjjGgGUA6NLw09EwE0CqkOc4q9oUmW1yo/edit?usp=sharing"",""เชียงใหม่!J308"")"),1)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IFERROR(__xludf.DUMMYFUNCTION("IMPORTRANGE(""https://docs.google.com/spreadsheets/d/11923uPwbBZFjjGgGUA6NLw09EwE0CqkOc4q9oUmW1yo/edit?usp=sharing"",""เชียงใหม่!J309"")"),1)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IFERROR(__xludf.DUMMYFUNCTION("IMPORTRANGE(""https://docs.google.com/spreadsheets/d/11923uPwbBZFjjGgGUA6NLw09EwE0CqkOc4q9oUmW1yo/edit?usp=sharing"",""เชียงใหม่!J310"")"),1)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IFERROR(__xludf.DUMMYFUNCTION("IMPORTRANGE(""https://docs.google.com/spreadsheets/d/11923uPwbBZFjjGgGUA6NLw09EwE0CqkOc4q9oUmW1yo/edit?usp=sharing"",""เชียงใหม่!I311"")"),35)</f>
        <v>35</v>
      </c>
      <c r="J416" s="200">
        <f ca="1">IFERROR(__xludf.DUMMYFUNCTION("IMPORTRANGE(""https://docs.google.com/spreadsheets/d/11923uPwbBZFjjGgGUA6NLw09EwE0CqkOc4q9oUmW1yo/edit?usp=sharing"",""เชียงใหม่!J311"")"),35)</f>
        <v>35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IFERROR(__xludf.DUMMYFUNCTION("IMPORTRANGE(""https://docs.google.com/spreadsheets/d/11923uPwbBZFjjGgGUA6NLw09EwE0CqkOc4q9oUmW1yo/edit?usp=sharing"",""เชียงใหม่!I312"")"),10)</f>
        <v>10</v>
      </c>
      <c r="J417" s="391">
        <f ca="1">IFERROR(__xludf.DUMMYFUNCTION("IMPORTRANGE(""https://docs.google.com/spreadsheets/d/11923uPwbBZFjjGgGUA6NLw09EwE0CqkOc4q9oUmW1yo/edit?usp=sharing"",""เชียงใหม่!J312"")"),10)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IFERROR(__xludf.DUMMYFUNCTION("IMPORTRANGE(""https://docs.google.com/spreadsheets/d/11923uPwbBZFjjGgGUA6NLw09EwE0CqkOc4q9oUmW1yo/edit?usp=sharing"",""เชียงใหม่!I313"")"),30)</f>
        <v>30</v>
      </c>
      <c r="J418" s="392">
        <f ca="1">IFERROR(__xludf.DUMMYFUNCTION("IMPORTRANGE(""https://docs.google.com/spreadsheets/d/11923uPwbBZFjjGgGUA6NLw09EwE0CqkOc4q9oUmW1yo/edit?usp=sharing"",""เชียงใหม่!J313"")"),30)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IFERROR(__xludf.DUMMYFUNCTION("IMPORTRANGE(""https://docs.google.com/spreadsheets/d/11923uPwbBZFjjGgGUA6NLw09EwE0CqkOc4q9oUmW1yo/edit?usp=sharing"",""เชียงใหม่!I314"")"),10)</f>
        <v>10</v>
      </c>
      <c r="J419" s="393">
        <f ca="1">IFERROR(__xludf.DUMMYFUNCTION("IMPORTRANGE(""https://docs.google.com/spreadsheets/d/11923uPwbBZFjjGgGUA6NLw09EwE0CqkOc4q9oUmW1yo/edit?usp=sharing"",""เชียงใหม่!J314"")"),10)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IFERROR(__xludf.DUMMYFUNCTION("IMPORTRANGE(""https://docs.google.com/spreadsheets/d/11923uPwbBZFjjGgGUA6NLw09EwE0CqkOc4q9oUmW1yo/edit?usp=sharing"",""เชียงใหม่!I315"")"),10)</f>
        <v>10</v>
      </c>
      <c r="J420" s="393">
        <f ca="1">IFERROR(__xludf.DUMMYFUNCTION("IMPORTRANGE(""https://docs.google.com/spreadsheets/d/11923uPwbBZFjjGgGUA6NLw09EwE0CqkOc4q9oUmW1yo/edit?usp=sharing"",""เชียงใหม่!J315"")"),10)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IFERROR(__xludf.DUMMYFUNCTION("IMPORTRANGE(""https://docs.google.com/spreadsheets/d/11923uPwbBZFjjGgGUA6NLw09EwE0CqkOc4q9oUmW1yo/edit?usp=sharing"",""เชียงใหม่!I316"")"),15)</f>
        <v>15</v>
      </c>
      <c r="J421" s="391">
        <f ca="1">IFERROR(__xludf.DUMMYFUNCTION("IMPORTRANGE(""https://docs.google.com/spreadsheets/d/11923uPwbBZFjjGgGUA6NLw09EwE0CqkOc4q9oUmW1yo/edit?usp=sharing"",""เชียงใหม่!J316"")"),15)</f>
        <v>15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IFERROR(__xludf.DUMMYFUNCTION("IMPORTRANGE(""https://docs.google.com/spreadsheets/d/11923uPwbBZFjjGgGUA6NLw09EwE0CqkOc4q9oUmW1yo/edit?usp=sharing"",""เชียงใหม่!I317"")"),45)</f>
        <v>45</v>
      </c>
      <c r="J422" s="392">
        <f ca="1">IFERROR(__xludf.DUMMYFUNCTION("IMPORTRANGE(""https://docs.google.com/spreadsheets/d/11923uPwbBZFjjGgGUA6NLw09EwE0CqkOc4q9oUmW1yo/edit?usp=sharing"",""เชียงใหม่!J317"")"),45)</f>
        <v>45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IFERROR(__xludf.DUMMYFUNCTION("IMPORTRANGE(""https://docs.google.com/spreadsheets/d/11923uPwbBZFjjGgGUA6NLw09EwE0CqkOc4q9oUmW1yo/edit?usp=sharing"",""เชียงใหม่!I318"")"),15)</f>
        <v>15</v>
      </c>
      <c r="J423" s="393">
        <f ca="1">IFERROR(__xludf.DUMMYFUNCTION("IMPORTRANGE(""https://docs.google.com/spreadsheets/d/11923uPwbBZFjjGgGUA6NLw09EwE0CqkOc4q9oUmW1yo/edit?usp=sharing"",""เชียงใหม่!J318"")"),15)</f>
        <v>15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IFERROR(__xludf.DUMMYFUNCTION("IMPORTRANGE(""https://docs.google.com/spreadsheets/d/11923uPwbBZFjjGgGUA6NLw09EwE0CqkOc4q9oUmW1yo/edit?usp=sharing"",""เชียงใหม่!I319"")"),15)</f>
        <v>15</v>
      </c>
      <c r="J424" s="393">
        <f ca="1">IFERROR(__xludf.DUMMYFUNCTION("IMPORTRANGE(""https://docs.google.com/spreadsheets/d/11923uPwbBZFjjGgGUA6NLw09EwE0CqkOc4q9oUmW1yo/edit?usp=sharing"",""เชียงใหม่!J319"")"),15)</f>
        <v>15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IFERROR(__xludf.DUMMYFUNCTION("IMPORTRANGE(""https://docs.google.com/spreadsheets/d/11923uPwbBZFjjGgGUA6NLw09EwE0CqkOc4q9oUmW1yo/edit?usp=sharing"",""เชียงใหม่!I320"")"),15)</f>
        <v>15</v>
      </c>
      <c r="J425" s="393">
        <f ca="1">IFERROR(__xludf.DUMMYFUNCTION("IMPORTRANGE(""https://docs.google.com/spreadsheets/d/11923uPwbBZFjjGgGUA6NLw09EwE0CqkOc4q9oUmW1yo/edit?usp=sharing"",""เชียงใหม่!J320"")"),15)</f>
        <v>15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IFERROR(__xludf.DUMMYFUNCTION("IMPORTRANGE(""https://docs.google.com/spreadsheets/d/11923uPwbBZFjjGgGUA6NLw09EwE0CqkOc4q9oUmW1yo/edit?usp=sharing"",""เชียงใหม่!I321"")"),10)</f>
        <v>10</v>
      </c>
      <c r="J426" s="391">
        <f ca="1">IFERROR(__xludf.DUMMYFUNCTION("IMPORTRANGE(""https://docs.google.com/spreadsheets/d/11923uPwbBZFjjGgGUA6NLw09EwE0CqkOc4q9oUmW1yo/edit?usp=sharing"",""เชียงใหม่!J321"")"),10)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IFERROR(__xludf.DUMMYFUNCTION("IMPORTRANGE(""https://docs.google.com/spreadsheets/d/11923uPwbBZFjjGgGUA6NLw09EwE0CqkOc4q9oUmW1yo/edit?usp=sharing"",""เชียงใหม่!I322"")"),30)</f>
        <v>30</v>
      </c>
      <c r="J427" s="392">
        <f ca="1">IFERROR(__xludf.DUMMYFUNCTION("IMPORTRANGE(""https://docs.google.com/spreadsheets/d/11923uPwbBZFjjGgGUA6NLw09EwE0CqkOc4q9oUmW1yo/edit?usp=sharing"",""เชียงใหม่!J322"")"),30)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IFERROR(__xludf.DUMMYFUNCTION("IMPORTRANGE(""https://docs.google.com/spreadsheets/d/11923uPwbBZFjjGgGUA6NLw09EwE0CqkOc4q9oUmW1yo/edit?usp=sharing"",""เชียงใหม่!I323"")"),10)</f>
        <v>10</v>
      </c>
      <c r="J428" s="393">
        <f ca="1">IFERROR(__xludf.DUMMYFUNCTION("IMPORTRANGE(""https://docs.google.com/spreadsheets/d/11923uPwbBZFjjGgGUA6NLw09EwE0CqkOc4q9oUmW1yo/edit?usp=sharing"",""เชียงใหม่!J323"")"),10)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IFERROR(__xludf.DUMMYFUNCTION("IMPORTRANGE(""https://docs.google.com/spreadsheets/d/11923uPwbBZFjjGgGUA6NLw09EwE0CqkOc4q9oUmW1yo/edit?usp=sharing"",""เชียงใหม่!I324"")"),10)</f>
        <v>10</v>
      </c>
      <c r="J429" s="393">
        <f ca="1">IFERROR(__xludf.DUMMYFUNCTION("IMPORTRANGE(""https://docs.google.com/spreadsheets/d/11923uPwbBZFjjGgGUA6NLw09EwE0CqkOc4q9oUmW1yo/edit?usp=sharing"",""เชียงใหม่!J324"")"),10)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IFERROR(__xludf.DUMMYFUNCTION("IMPORTRANGE(""https://docs.google.com/spreadsheets/d/11923uPwbBZFjjGgGUA6NLw09EwE0CqkOc4q9oUmW1yo/edit?usp=sharing"",""เชียงใหม่!I325"")"),25)</f>
        <v>25</v>
      </c>
      <c r="J430" s="391">
        <f ca="1">IFERROR(__xludf.DUMMYFUNCTION("IMPORTRANGE(""https://docs.google.com/spreadsheets/d/11923uPwbBZFjjGgGUA6NLw09EwE0CqkOc4q9oUmW1yo/edit?usp=sharing"",""เชียงใหม่!J325"")"),25)</f>
        <v>25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IFERROR(__xludf.DUMMYFUNCTION("IMPORTRANGE(""https://docs.google.com/spreadsheets/d/11923uPwbBZFjjGgGUA6NLw09EwE0CqkOc4q9oUmW1yo/edit?usp=sharing"",""เชียงใหม่!I326"")"),10)</f>
        <v>10</v>
      </c>
      <c r="J431" s="393">
        <f ca="1">IFERROR(__xludf.DUMMYFUNCTION("IMPORTRANGE(""https://docs.google.com/spreadsheets/d/11923uPwbBZFjjGgGUA6NLw09EwE0CqkOc4q9oUmW1yo/edit?usp=sharing"",""เชียงใหม่!J326"")"),10)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IFERROR(__xludf.DUMMYFUNCTION("IMPORTRANGE(""https://docs.google.com/spreadsheets/d/11923uPwbBZFjjGgGUA6NLw09EwE0CqkOc4q9oUmW1yo/edit?usp=sharing"",""เชียงใหม่!I327"")"),15)</f>
        <v>15</v>
      </c>
      <c r="J432" s="393">
        <f ca="1">IFERROR(__xludf.DUMMYFUNCTION("IMPORTRANGE(""https://docs.google.com/spreadsheets/d/11923uPwbBZFjjGgGUA6NLw09EwE0CqkOc4q9oUmW1yo/edit?usp=sharing"",""เชียงใหม่!J327"")"),15)</f>
        <v>15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IFERROR(__xludf.DUMMYFUNCTION("IMPORTRANGE(""https://docs.google.com/spreadsheets/d/11923uPwbBZFjjGgGUA6NLw09EwE0CqkOc4q9oUmW1yo/edit?usp=sharing"",""เชียงใหม่!J328"")"),0)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IFERROR(__xludf.DUMMYFUNCTION("IMPORTRANGE(""https://docs.google.com/spreadsheets/d/11923uPwbBZFjjGgGUA6NLw09EwE0CqkOc4q9oUmW1yo/edit?usp=sharing"",""เชียงใหม่!J329"")"),0)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IFERROR(__xludf.DUMMYFUNCTION("IMPORTRANGE(""https://docs.google.com/spreadsheets/d/11923uPwbBZFjjGgGUA6NLw09EwE0CqkOc4q9oUmW1yo/edit?usp=sharing"",""เชียงใหม่!I330"")"),20)</f>
        <v>20</v>
      </c>
      <c r="J435" s="409">
        <f ca="1">IFERROR(__xludf.DUMMYFUNCTION("IMPORTRANGE(""https://docs.google.com/spreadsheets/d/11923uPwbBZFjjGgGUA6NLw09EwE0CqkOc4q9oUmW1yo/edit?usp=sharing"",""เชียงใหม่!J330"")"),20)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IFERROR(__xludf.DUMMYFUNCTION("IMPORTRANGE(""https://docs.google.com/spreadsheets/d/11923uPwbBZFjjGgGUA6NLw09EwE0CqkOc4q9oUmW1yo/edit?usp=sharing"",""เชียงใหม่!L330"")"),100000)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IFERROR(__xludf.DUMMYFUNCTION("IMPORTRANGE(""https://docs.google.com/spreadsheets/d/11923uPwbBZFjjGgGUA6NLw09EwE0CqkOc4q9oUmW1yo/edit?usp=sharing"",""เชียงใหม่!M330"")"),38905)</f>
        <v>38905</v>
      </c>
      <c r="O435" s="411">
        <f t="shared" ref="O435:O439" ca="1" si="114">+IF(L435&gt;0,N435*100/L435,0)</f>
        <v>38.905000000000001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IFERROR(__xludf.DUMMYFUNCTION("IMPORTRANGE(""https://docs.google.com/spreadsheets/d/11923uPwbBZFjjGgGUA6NLw09EwE0CqkOc4q9oUmW1yo/edit?usp=sharing"",""เชียงใหม่!L331"")"),0)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IFERROR(__xludf.DUMMYFUNCTION("IMPORTRANGE(""https://docs.google.com/spreadsheets/d/11923uPwbBZFjjGgGUA6NLw09EwE0CqkOc4q9oUmW1yo/edit?usp=sharing"",""เชียงใหม่!M331"")"),0)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IFERROR(__xludf.DUMMYFUNCTION("IMPORTRANGE(""https://docs.google.com/spreadsheets/d/11923uPwbBZFjjGgGUA6NLw09EwE0CqkOc4q9oUmW1yo/edit?usp=sharing"",""เชียงใหม่!L332"")"),100000)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IFERROR(__xludf.DUMMYFUNCTION("IMPORTRANGE(""https://docs.google.com/spreadsheets/d/11923uPwbBZFjjGgGUA6NLw09EwE0CqkOc4q9oUmW1yo/edit?usp=sharing"",""เชียงใหม่!M332"")"),38905)</f>
        <v>38905</v>
      </c>
      <c r="O437" s="168">
        <f t="shared" ca="1" si="114"/>
        <v>38.905000000000001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IFERROR(__xludf.DUMMYFUNCTION("IMPORTRANGE(""https://docs.google.com/spreadsheets/d/11923uPwbBZFjjGgGUA6NLw09EwE0CqkOc4q9oUmW1yo/edit?usp=sharing"",""เชียงใหม่!L333"")"),0)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IFERROR(__xludf.DUMMYFUNCTION("IMPORTRANGE(""https://docs.google.com/spreadsheets/d/11923uPwbBZFjjGgGUA6NLw09EwE0CqkOc4q9oUmW1yo/edit?usp=sharing"",""เชียงใหม่!M333"")"),0)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IFERROR(__xludf.DUMMYFUNCTION("IMPORTRANGE(""https://docs.google.com/spreadsheets/d/11923uPwbBZFjjGgGUA6NLw09EwE0CqkOc4q9oUmW1yo/edit?usp=sharing"",""เชียงใหม่!L334"")"),100000)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IFERROR(__xludf.DUMMYFUNCTION("IMPORTRANGE(""https://docs.google.com/spreadsheets/d/11923uPwbBZFjjGgGUA6NLw09EwE0CqkOc4q9oUmW1yo/edit?usp=sharing"",""เชียงใหม่!M334"")"),38905)</f>
        <v>38905</v>
      </c>
      <c r="O439" s="168">
        <f t="shared" ca="1" si="114"/>
        <v>38.905000000000001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IFERROR(__xludf.DUMMYFUNCTION("IMPORTRANGE(""https://docs.google.com/spreadsheets/d/11923uPwbBZFjjGgGUA6NLw09EwE0CqkOc4q9oUmW1yo/edit?usp=sharing"",""เชียงใหม่!M335"")"),22395)</f>
        <v>22395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IFERROR(__xludf.DUMMYFUNCTION("IMPORTRANGE(""https://docs.google.com/spreadsheets/d/11923uPwbBZFjjGgGUA6NLw09EwE0CqkOc4q9oUmW1yo/edit?usp=sharing"",""เชียงใหม่!M336"")"),0)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IFERROR(__xludf.DUMMYFUNCTION("IMPORTRANGE(""https://docs.google.com/spreadsheets/d/11923uPwbBZFjjGgGUA6NLw09EwE0CqkOc4q9oUmW1yo/edit?usp=sharing"",""เชียงใหม่!M337"")"),0)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IFERROR(__xludf.DUMMYFUNCTION("IMPORTRANGE(""https://docs.google.com/spreadsheets/d/11923uPwbBZFjjGgGUA6NLw09EwE0CqkOc4q9oUmW1yo/edit?usp=sharing"",""เชียงใหม่!M338"")"),16510)</f>
        <v>16510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IFERROR(__xludf.DUMMYFUNCTION("IMPORTRANGE(""https://docs.google.com/spreadsheets/d/11923uPwbBZFjjGgGUA6NLw09EwE0CqkOc4q9oUmW1yo/edit?usp=sharing"",""เชียงใหม่!J340"")"),0)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IFERROR(__xludf.DUMMYFUNCTION("IMPORTRANGE(""https://docs.google.com/spreadsheets/d/11923uPwbBZFjjGgGUA6NLw09EwE0CqkOc4q9oUmW1yo/edit?usp=sharing"",""เชียงใหม่!J341"")"),1)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IFERROR(__xludf.DUMMYFUNCTION("IMPORTRANGE(""https://docs.google.com/spreadsheets/d/11923uPwbBZFjjGgGUA6NLw09EwE0CqkOc4q9oUmW1yo/edit?usp=sharing"",""เชียงใหม่!J342"")"),1)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IFERROR(__xludf.DUMMYFUNCTION("IMPORTRANGE(""https://docs.google.com/spreadsheets/d/11923uPwbBZFjjGgGUA6NLw09EwE0CqkOc4q9oUmW1yo/edit?usp=sharing"",""เชียงใหม่!J343"")"),1)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IFERROR(__xludf.DUMMYFUNCTION("IMPORTRANGE(""https://docs.google.com/spreadsheets/d/11923uPwbBZFjjGgGUA6NLw09EwE0CqkOc4q9oUmW1yo/edit?usp=sharing"",""เชียงใหม่!I344"")"),20)</f>
        <v>20</v>
      </c>
      <c r="J449" s="200">
        <f ca="1">IFERROR(__xludf.DUMMYFUNCTION("IMPORTRANGE(""https://docs.google.com/spreadsheets/d/11923uPwbBZFjjGgGUA6NLw09EwE0CqkOc4q9oUmW1yo/edit?usp=sharing"",""เชียงใหม่!J344"")"),20)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IFERROR(__xludf.DUMMYFUNCTION("IMPORTRANGE(""https://docs.google.com/spreadsheets/d/11923uPwbBZFjjGgGUA6NLw09EwE0CqkOc4q9oUmW1yo/edit?usp=sharing"",""เชียงใหม่!I345"")"),20)</f>
        <v>20</v>
      </c>
      <c r="J450" s="188">
        <f ca="1">IFERROR(__xludf.DUMMYFUNCTION("IMPORTRANGE(""https://docs.google.com/spreadsheets/d/11923uPwbBZFjjGgGUA6NLw09EwE0CqkOc4q9oUmW1yo/edit?usp=sharing"",""เชียงใหม่!J345"")"),20)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IFERROR(__xludf.DUMMYFUNCTION("IMPORTRANGE(""https://docs.google.com/spreadsheets/d/11923uPwbBZFjjGgGUA6NLw09EwE0CqkOc4q9oUmW1yo/edit?usp=sharing"",""เชียงใหม่!I346"")"),0)</f>
        <v>0</v>
      </c>
      <c r="J451" s="187">
        <f ca="1">IFERROR(__xludf.DUMMYFUNCTION("IMPORTRANGE(""https://docs.google.com/spreadsheets/d/11923uPwbBZFjjGgGUA6NLw09EwE0CqkOc4q9oUmW1yo/edit?usp=sharing"",""เชียงใหม่!J346"")"),0)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IFERROR(__xludf.DUMMYFUNCTION("IMPORTRANGE(""https://docs.google.com/spreadsheets/d/11923uPwbBZFjjGgGUA6NLw09EwE0CqkOc4q9oUmW1yo/edit?usp=sharing"",""เชียงใหม่!I347"")"),0)</f>
        <v>0</v>
      </c>
      <c r="J452" s="187">
        <f ca="1">IFERROR(__xludf.DUMMYFUNCTION("IMPORTRANGE(""https://docs.google.com/spreadsheets/d/11923uPwbBZFjjGgGUA6NLw09EwE0CqkOc4q9oUmW1yo/edit?usp=sharing"",""เชียงใหม่!J347"")"),0)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IFERROR(__xludf.DUMMYFUNCTION("IMPORTRANGE(""https://docs.google.com/spreadsheets/d/11923uPwbBZFjjGgGUA6NLw09EwE0CqkOc4q9oUmW1yo/edit?usp=sharing"",""เชียงใหม่!J348"")"),0)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IFERROR(__xludf.DUMMYFUNCTION("IMPORTRANGE(""https://docs.google.com/spreadsheets/d/11923uPwbBZFjjGgGUA6NLw09EwE0CqkOc4q9oUmW1yo/edit?usp=sharing"",""เชียงใหม่!J349"")"),0)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IFERROR(__xludf.DUMMYFUNCTION("IMPORTRANGE(""https://docs.google.com/spreadsheets/d/11923uPwbBZFjjGgGUA6NLw09EwE0CqkOc4q9oUmW1yo/edit?usp=sharing"",""เชียงใหม่!I350"")"),19467)</f>
        <v>19467</v>
      </c>
      <c r="J455" s="370">
        <f ca="1">IFERROR(__xludf.DUMMYFUNCTION("IMPORTRANGE(""https://docs.google.com/spreadsheets/d/11923uPwbBZFjjGgGUA6NLw09EwE0CqkOc4q9oUmW1yo/edit?usp=sharing"",""เชียงใหม่!J350"")"),9322)</f>
        <v>9322</v>
      </c>
      <c r="K455" s="371">
        <f ca="1">IF(I455&gt;0,J455*100/I455,0)</f>
        <v>47.886166332768276</v>
      </c>
      <c r="L455" s="372">
        <f ca="1">IFERROR(__xludf.DUMMYFUNCTION("IMPORTRANGE(""https://docs.google.com/spreadsheets/d/11923uPwbBZFjjGgGUA6NLw09EwE0CqkOc4q9oUmW1yo/edit?usp=sharing"",""เชียงใหม่!L350"")"),520639)</f>
        <v>520639</v>
      </c>
      <c r="M455" s="372"/>
      <c r="N455" s="372">
        <f ca="1">IFERROR(__xludf.DUMMYFUNCTION("IMPORTRANGE(""https://docs.google.com/spreadsheets/d/11923uPwbBZFjjGgGUA6NLw09EwE0CqkOc4q9oUmW1yo/edit?usp=sharing"",""เชียงใหม่!M350"")"),255904.91)</f>
        <v>255904.91</v>
      </c>
      <c r="O455" s="372">
        <f t="shared" ref="O455:O459" ca="1" si="116">+IF(L455&gt;0,N455*100/L455,0)</f>
        <v>49.152082344964555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IFERROR(__xludf.DUMMYFUNCTION("IMPORTRANGE(""https://docs.google.com/spreadsheets/d/11923uPwbBZFjjGgGUA6NLw09EwE0CqkOc4q9oUmW1yo/edit?usp=sharing"",""เชียงใหม่!L351"")"),0)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IFERROR(__xludf.DUMMYFUNCTION("IMPORTRANGE(""https://docs.google.com/spreadsheets/d/11923uPwbBZFjjGgGUA6NLw09EwE0CqkOc4q9oUmW1yo/edit?usp=sharing"",""เชียงใหม่!M351"")"),0)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IFERROR(__xludf.DUMMYFUNCTION("IMPORTRANGE(""https://docs.google.com/spreadsheets/d/11923uPwbBZFjjGgGUA6NLw09EwE0CqkOc4q9oUmW1yo/edit?usp=sharing"",""เชียงใหม่!L352"")"),520639)</f>
        <v>520639</v>
      </c>
      <c r="M457" s="165"/>
      <c r="N457" s="168">
        <f ca="1">IFERROR(__xludf.DUMMYFUNCTION("IMPORTRANGE(""https://docs.google.com/spreadsheets/d/11923uPwbBZFjjGgGUA6NLw09EwE0CqkOc4q9oUmW1yo/edit?usp=sharing"",""เชียงใหม่!M352"")"),255904.91)</f>
        <v>255904.91</v>
      </c>
      <c r="O457" s="168">
        <f t="shared" ca="1" si="116"/>
        <v>49.152082344964555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IFERROR(__xludf.DUMMYFUNCTION("IMPORTRANGE(""https://docs.google.com/spreadsheets/d/11923uPwbBZFjjGgGUA6NLw09EwE0CqkOc4q9oUmW1yo/edit?usp=sharing"",""เชียงใหม่!L353"")"),0)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IFERROR(__xludf.DUMMYFUNCTION("IMPORTRANGE(""https://docs.google.com/spreadsheets/d/11923uPwbBZFjjGgGUA6NLw09EwE0CqkOc4q9oUmW1yo/edit?usp=sharing"",""เชียงใหม่!M353"")"),0)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IFERROR(__xludf.DUMMYFUNCTION("IMPORTRANGE(""https://docs.google.com/spreadsheets/d/11923uPwbBZFjjGgGUA6NLw09EwE0CqkOc4q9oUmW1yo/edit?usp=sharing"",""เชียงใหม่!L354"")"),520639)</f>
        <v>520639</v>
      </c>
      <c r="M459" s="168"/>
      <c r="N459" s="168">
        <f ca="1">IFERROR(__xludf.DUMMYFUNCTION("IMPORTRANGE(""https://docs.google.com/spreadsheets/d/11923uPwbBZFjjGgGUA6NLw09EwE0CqkOc4q9oUmW1yo/edit?usp=sharing"",""เชียงใหม่!M354"")"),255904.91)</f>
        <v>255904.91</v>
      </c>
      <c r="O459" s="168">
        <f t="shared" ca="1" si="116"/>
        <v>49.152082344964555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IFERROR(__xludf.DUMMYFUNCTION("IMPORTRANGE(""https://docs.google.com/spreadsheets/d/11923uPwbBZFjjGgGUA6NLw09EwE0CqkOc4q9oUmW1yo/edit?usp=sharing"",""เชียงใหม่!M355"")"),0)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IFERROR(__xludf.DUMMYFUNCTION("IMPORTRANGE(""https://docs.google.com/spreadsheets/d/11923uPwbBZFjjGgGUA6NLw09EwE0CqkOc4q9oUmW1yo/edit?usp=sharing"",""เชียงใหม่!M356"")"),0)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IFERROR(__xludf.DUMMYFUNCTION("IMPORTRANGE(""https://docs.google.com/spreadsheets/d/11923uPwbBZFjjGgGUA6NLw09EwE0CqkOc4q9oUmW1yo/edit?usp=sharing"",""เชียงใหม่!M357"")"),85858.91)</f>
        <v>85858.91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IFERROR(__xludf.DUMMYFUNCTION("IMPORTRANGE(""https://docs.google.com/spreadsheets/d/11923uPwbBZFjjGgGUA6NLw09EwE0CqkOc4q9oUmW1yo/edit?usp=sharing"",""เชียงใหม่!M358"")"),170046)</f>
        <v>170046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IFERROR(__xludf.DUMMYFUNCTION("IMPORTRANGE(""https://docs.google.com/spreadsheets/d/11923uPwbBZFjjGgGUA6NLw09EwE0CqkOc4q9oUmW1yo/edit?usp=sharing"",""เชียงใหม่!I359"")"),19467)</f>
        <v>19467</v>
      </c>
      <c r="J464" s="267">
        <f ca="1">IFERROR(__xludf.DUMMYFUNCTION("IMPORTRANGE(""https://docs.google.com/spreadsheets/d/11923uPwbBZFjjGgGUA6NLw09EwE0CqkOc4q9oUmW1yo/edit?usp=sharing"",""เชียงใหม่!J359"")"),9322)</f>
        <v>9322</v>
      </c>
      <c r="K464" s="268">
        <f t="shared" ref="K464:K515" ca="1" si="117">IF(I464&gt;0,J464*100/I464,0)</f>
        <v>47.886166332768276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IFERROR(__xludf.DUMMYFUNCTION("IMPORTRANGE(""https://docs.google.com/spreadsheets/d/11923uPwbBZFjjGgGUA6NLw09EwE0CqkOc4q9oUmW1yo/edit?usp=sharing"",""เชียงใหม่!I360"")"),19467)</f>
        <v>19467</v>
      </c>
      <c r="J465" s="420">
        <f ca="1">IFERROR(__xludf.DUMMYFUNCTION("IMPORTRANGE(""https://docs.google.com/spreadsheets/d/11923uPwbBZFjjGgGUA6NLw09EwE0CqkOc4q9oUmW1yo/edit?usp=sharing"",""เชียงใหม่!J360"")"),19467.63)</f>
        <v>19467.63</v>
      </c>
      <c r="K465" s="201">
        <f t="shared" ca="1" si="117"/>
        <v>100.0032362459547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IFERROR(__xludf.DUMMYFUNCTION("IMPORTRANGE(""https://docs.google.com/spreadsheets/d/11923uPwbBZFjjGgGUA6NLw09EwE0CqkOc4q9oUmW1yo/edit?usp=sharing"",""เชียงใหม่!I361"")"),4394)</f>
        <v>4394</v>
      </c>
      <c r="J466" s="420">
        <f ca="1">IFERROR(__xludf.DUMMYFUNCTION("IMPORTRANGE(""https://docs.google.com/spreadsheets/d/11923uPwbBZFjjGgGUA6NLw09EwE0CqkOc4q9oUmW1yo/edit?usp=sharing"",""เชียงใหม่!J361"")"),4394)</f>
        <v>4394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IFERROR(__xludf.DUMMYFUNCTION("IMPORTRANGE(""https://docs.google.com/spreadsheets/d/11923uPwbBZFjjGgGUA6NLw09EwE0CqkOc4q9oUmW1yo/edit?usp=sharing"",""เชียงใหม่!I362"")"),0)</f>
        <v>0</v>
      </c>
      <c r="J467" s="188">
        <f ca="1">IFERROR(__xludf.DUMMYFUNCTION("IMPORTRANGE(""https://docs.google.com/spreadsheets/d/11923uPwbBZFjjGgGUA6NLw09EwE0CqkOc4q9oUmW1yo/edit?usp=sharing"",""เชียงใหม่!J362"")"),9243)</f>
        <v>9243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IFERROR(__xludf.DUMMYFUNCTION("IMPORTRANGE(""https://docs.google.com/spreadsheets/d/11923uPwbBZFjjGgGUA6NLw09EwE0CqkOc4q9oUmW1yo/edit?usp=sharing"",""เชียงใหม่!I363"")"),0)</f>
        <v>0</v>
      </c>
      <c r="J468" s="188">
        <f ca="1">IFERROR(__xludf.DUMMYFUNCTION("IMPORTRANGE(""https://docs.google.com/spreadsheets/d/11923uPwbBZFjjGgGUA6NLw09EwE0CqkOc4q9oUmW1yo/edit?usp=sharing"",""เชียงใหม่!J363"")"),2379)</f>
        <v>2379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IFERROR(__xludf.DUMMYFUNCTION("IMPORTRANGE(""https://docs.google.com/spreadsheets/d/11923uPwbBZFjjGgGUA6NLw09EwE0CqkOc4q9oUmW1yo/edit?usp=sharing"",""เชียงใหม่!I364"")"),0)</f>
        <v>0</v>
      </c>
      <c r="J469" s="188">
        <f ca="1">IFERROR(__xludf.DUMMYFUNCTION("IMPORTRANGE(""https://docs.google.com/spreadsheets/d/11923uPwbBZFjjGgGUA6NLw09EwE0CqkOc4q9oUmW1yo/edit?usp=sharing"",""เชียงใหม่!J364"")"),10020.33)</f>
        <v>10020.33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IFERROR(__xludf.DUMMYFUNCTION("IMPORTRANGE(""https://docs.google.com/spreadsheets/d/11923uPwbBZFjjGgGUA6NLw09EwE0CqkOc4q9oUmW1yo/edit?usp=sharing"",""เชียงใหม่!I365"")"),0)</f>
        <v>0</v>
      </c>
      <c r="J470" s="188">
        <f ca="1">IFERROR(__xludf.DUMMYFUNCTION("IMPORTRANGE(""https://docs.google.com/spreadsheets/d/11923uPwbBZFjjGgGUA6NLw09EwE0CqkOc4q9oUmW1yo/edit?usp=sharing"",""เชียงใหม่!J365"")"),1953)</f>
        <v>1953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IFERROR(__xludf.DUMMYFUNCTION("IMPORTRANGE(""https://docs.google.com/spreadsheets/d/11923uPwbBZFjjGgGUA6NLw09EwE0CqkOc4q9oUmW1yo/edit?usp=sharing"",""เชียงใหม่!I366"")"),0)</f>
        <v>0</v>
      </c>
      <c r="J471" s="188">
        <f ca="1">IFERROR(__xludf.DUMMYFUNCTION("IMPORTRANGE(""https://docs.google.com/spreadsheets/d/11923uPwbBZFjjGgGUA6NLw09EwE0CqkOc4q9oUmW1yo/edit?usp=sharing"",""เชียงใหม่!J366"")"),204.3)</f>
        <v>204.3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IFERROR(__xludf.DUMMYFUNCTION("IMPORTRANGE(""https://docs.google.com/spreadsheets/d/11923uPwbBZFjjGgGUA6NLw09EwE0CqkOc4q9oUmW1yo/edit?usp=sharing"",""เชียงใหม่!I367"")"),0)</f>
        <v>0</v>
      </c>
      <c r="J472" s="188">
        <f ca="1">IFERROR(__xludf.DUMMYFUNCTION("IMPORTRANGE(""https://docs.google.com/spreadsheets/d/11923uPwbBZFjjGgGUA6NLw09EwE0CqkOc4q9oUmW1yo/edit?usp=sharing"",""เชียงใหม่!J367"")"),62)</f>
        <v>62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IFERROR(__xludf.DUMMYFUNCTION("IMPORTRANGE(""https://docs.google.com/spreadsheets/d/11923uPwbBZFjjGgGUA6NLw09EwE0CqkOc4q9oUmW1yo/edit?usp=sharing"",""เชียงใหม่!I368"")"),19467)</f>
        <v>19467</v>
      </c>
      <c r="J473" s="420">
        <f ca="1">IFERROR(__xludf.DUMMYFUNCTION("IMPORTRANGE(""https://docs.google.com/spreadsheets/d/11923uPwbBZFjjGgGUA6NLw09EwE0CqkOc4q9oUmW1yo/edit?usp=sharing"",""เชียงใหม่!J368"")"),19467.3399999999)</f>
        <v>19467.339999999898</v>
      </c>
      <c r="K473" s="201">
        <f t="shared" ca="1" si="117"/>
        <v>100.00174654543534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IFERROR(__xludf.DUMMYFUNCTION("IMPORTRANGE(""https://docs.google.com/spreadsheets/d/11923uPwbBZFjjGgGUA6NLw09EwE0CqkOc4q9oUmW1yo/edit?usp=sharing"",""เชียงใหม่!I369"")"),4394)</f>
        <v>4394</v>
      </c>
      <c r="J474" s="420">
        <f ca="1">IFERROR(__xludf.DUMMYFUNCTION("IMPORTRANGE(""https://docs.google.com/spreadsheets/d/11923uPwbBZFjjGgGUA6NLw09EwE0CqkOc4q9oUmW1yo/edit?usp=sharing"",""เชียงใหม่!J369"")"),4394)</f>
        <v>4394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IFERROR(__xludf.DUMMYFUNCTION("IMPORTRANGE(""https://docs.google.com/spreadsheets/d/11923uPwbBZFjjGgGUA6NLw09EwE0CqkOc4q9oUmW1yo/edit?usp=sharing"",""เชียงใหม่!I370"")"),0)</f>
        <v>0</v>
      </c>
      <c r="J475" s="188">
        <f ca="1">IFERROR(__xludf.DUMMYFUNCTION("IMPORTRANGE(""https://docs.google.com/spreadsheets/d/11923uPwbBZFjjGgGUA6NLw09EwE0CqkOc4q9oUmW1yo/edit?usp=sharing"",""เชียงใหม่!J370"")"),9321.76)</f>
        <v>9321.76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IFERROR(__xludf.DUMMYFUNCTION("IMPORTRANGE(""https://docs.google.com/spreadsheets/d/11923uPwbBZFjjGgGUA6NLw09EwE0CqkOc4q9oUmW1yo/edit?usp=sharing"",""เชียงใหม่!I371"")"),0)</f>
        <v>0</v>
      </c>
      <c r="J476" s="188">
        <f ca="1">IFERROR(__xludf.DUMMYFUNCTION("IMPORTRANGE(""https://docs.google.com/spreadsheets/d/11923uPwbBZFjjGgGUA6NLw09EwE0CqkOc4q9oUmW1yo/edit?usp=sharing"",""เชียงใหม่!J371"")"),2393)</f>
        <v>2393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IFERROR(__xludf.DUMMYFUNCTION("IMPORTRANGE(""https://docs.google.com/spreadsheets/d/11923uPwbBZFjjGgGUA6NLw09EwE0CqkOc4q9oUmW1yo/edit?usp=sharing"",""เชียงใหม่!I372"")"),0)</f>
        <v>0</v>
      </c>
      <c r="J477" s="188">
        <f ca="1">IFERROR(__xludf.DUMMYFUNCTION("IMPORTRANGE(""https://docs.google.com/spreadsheets/d/11923uPwbBZFjjGgGUA6NLw09EwE0CqkOc4q9oUmW1yo/edit?usp=sharing"",""เชียงใหม่!J372"")"),9937.23)</f>
        <v>9937.23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IFERROR(__xludf.DUMMYFUNCTION("IMPORTRANGE(""https://docs.google.com/spreadsheets/d/11923uPwbBZFjjGgGUA6NLw09EwE0CqkOc4q9oUmW1yo/edit?usp=sharing"",""เชียงใหม่!I373"")"),0)</f>
        <v>0</v>
      </c>
      <c r="J478" s="188">
        <f ca="1">IFERROR(__xludf.DUMMYFUNCTION("IMPORTRANGE(""https://docs.google.com/spreadsheets/d/11923uPwbBZFjjGgGUA6NLw09EwE0CqkOc4q9oUmW1yo/edit?usp=sharing"",""เชียงใหม่!J373"")"),1938)</f>
        <v>1938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IFERROR(__xludf.DUMMYFUNCTION("IMPORTRANGE(""https://docs.google.com/spreadsheets/d/11923uPwbBZFjjGgGUA6NLw09EwE0CqkOc4q9oUmW1yo/edit?usp=sharing"",""เชียงใหม่!I374"")"),0)</f>
        <v>0</v>
      </c>
      <c r="J479" s="188">
        <f ca="1">IFERROR(__xludf.DUMMYFUNCTION("IMPORTRANGE(""https://docs.google.com/spreadsheets/d/11923uPwbBZFjjGgGUA6NLw09EwE0CqkOc4q9oUmW1yo/edit?usp=sharing"",""เชียงใหม่!J374"")"),208.35)</f>
        <v>208.35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IFERROR(__xludf.DUMMYFUNCTION("IMPORTRANGE(""https://docs.google.com/spreadsheets/d/11923uPwbBZFjjGgGUA6NLw09EwE0CqkOc4q9oUmW1yo/edit?usp=sharing"",""เชียงใหม่!I375"")"),0)</f>
        <v>0</v>
      </c>
      <c r="J480" s="188">
        <f ca="1">IFERROR(__xludf.DUMMYFUNCTION("IMPORTRANGE(""https://docs.google.com/spreadsheets/d/11923uPwbBZFjjGgGUA6NLw09EwE0CqkOc4q9oUmW1yo/edit?usp=sharing"",""เชียงใหม่!J375"")"),63)</f>
        <v>63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IFERROR(__xludf.DUMMYFUNCTION("IMPORTRANGE(""https://docs.google.com/spreadsheets/d/11923uPwbBZFjjGgGUA6NLw09EwE0CqkOc4q9oUmW1yo/edit?usp=sharing"",""เชียงใหม่!I376"")"),19467)</f>
        <v>19467</v>
      </c>
      <c r="J481" s="420">
        <f ca="1">IFERROR(__xludf.DUMMYFUNCTION("IMPORTRANGE(""https://docs.google.com/spreadsheets/d/11923uPwbBZFjjGgGUA6NLw09EwE0CqkOc4q9oUmW1yo/edit?usp=sharing"",""เชียงใหม่!J376"")"),9322)</f>
        <v>9322</v>
      </c>
      <c r="K481" s="201">
        <f t="shared" ca="1" si="117"/>
        <v>47.886166332768276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IFERROR(__xludf.DUMMYFUNCTION("IMPORTRANGE(""https://docs.google.com/spreadsheets/d/11923uPwbBZFjjGgGUA6NLw09EwE0CqkOc4q9oUmW1yo/edit?usp=sharing"",""เชียงใหม่!I377"")"),4394)</f>
        <v>4394</v>
      </c>
      <c r="J482" s="420">
        <f ca="1">IFERROR(__xludf.DUMMYFUNCTION("IMPORTRANGE(""https://docs.google.com/spreadsheets/d/11923uPwbBZFjjGgGUA6NLw09EwE0CqkOc4q9oUmW1yo/edit?usp=sharing"",""เชียงใหม่!J377"")"),2393)</f>
        <v>2393</v>
      </c>
      <c r="K482" s="201">
        <f t="shared" ca="1" si="117"/>
        <v>54.460628129267185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IFERROR(__xludf.DUMMYFUNCTION("IMPORTRANGE(""https://docs.google.com/spreadsheets/d/11923uPwbBZFjjGgGUA6NLw09EwE0CqkOc4q9oUmW1yo/edit?usp=sharing"",""เชียงใหม่!I378"")"),0)</f>
        <v>0</v>
      </c>
      <c r="J483" s="188">
        <f ca="1">IFERROR(__xludf.DUMMYFUNCTION("IMPORTRANGE(""https://docs.google.com/spreadsheets/d/11923uPwbBZFjjGgGUA6NLw09EwE0CqkOc4q9oUmW1yo/edit?usp=sharing"",""เชียงใหม่!J378"")"),9322)</f>
        <v>9322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IFERROR(__xludf.DUMMYFUNCTION("IMPORTRANGE(""https://docs.google.com/spreadsheets/d/11923uPwbBZFjjGgGUA6NLw09EwE0CqkOc4q9oUmW1yo/edit?usp=sharing"",""เชียงใหม่!I379"")"),0)</f>
        <v>0</v>
      </c>
      <c r="J484" s="188">
        <f ca="1">IFERROR(__xludf.DUMMYFUNCTION("IMPORTRANGE(""https://docs.google.com/spreadsheets/d/11923uPwbBZFjjGgGUA6NLw09EwE0CqkOc4q9oUmW1yo/edit?usp=sharing"",""เชียงใหม่!J379"")"),2393)</f>
        <v>2393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IFERROR(__xludf.DUMMYFUNCTION("IMPORTRANGE(""https://docs.google.com/spreadsheets/d/11923uPwbBZFjjGgGUA6NLw09EwE0CqkOc4q9oUmW1yo/edit?usp=sharing"",""เชียงใหม่!I380"")"),0)</f>
        <v>0</v>
      </c>
      <c r="J485" s="188">
        <f ca="1">IFERROR(__xludf.DUMMYFUNCTION("IMPORTRANGE(""https://docs.google.com/spreadsheets/d/11923uPwbBZFjjGgGUA6NLw09EwE0CqkOc4q9oUmW1yo/edit?usp=sharing"",""เชียงใหม่!J380"")"),0)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IFERROR(__xludf.DUMMYFUNCTION("IMPORTRANGE(""https://docs.google.com/spreadsheets/d/11923uPwbBZFjjGgGUA6NLw09EwE0CqkOc4q9oUmW1yo/edit?usp=sharing"",""เชียงใหม่!I381"")"),0)</f>
        <v>0</v>
      </c>
      <c r="J486" s="188">
        <f ca="1">IFERROR(__xludf.DUMMYFUNCTION("IMPORTRANGE(""https://docs.google.com/spreadsheets/d/11923uPwbBZFjjGgGUA6NLw09EwE0CqkOc4q9oUmW1yo/edit?usp=sharing"",""เชียงใหม่!J381"")"),0)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IFERROR(__xludf.DUMMYFUNCTION("IMPORTRANGE(""https://docs.google.com/spreadsheets/d/11923uPwbBZFjjGgGUA6NLw09EwE0CqkOc4q9oUmW1yo/edit?usp=sharing"",""เชียงใหม่!I382"")"),0)</f>
        <v>0</v>
      </c>
      <c r="J487" s="420">
        <f ca="1">IFERROR(__xludf.DUMMYFUNCTION("IMPORTRANGE(""https://docs.google.com/spreadsheets/d/11923uPwbBZFjjGgGUA6NLw09EwE0CqkOc4q9oUmW1yo/edit?usp=sharing"",""เชียงใหม่!J382"")"),0)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IFERROR(__xludf.DUMMYFUNCTION("IMPORTRANGE(""https://docs.google.com/spreadsheets/d/11923uPwbBZFjjGgGUA6NLw09EwE0CqkOc4q9oUmW1yo/edit?usp=sharing"",""เชียงใหม่!I383"")"),0)</f>
        <v>0</v>
      </c>
      <c r="J488" s="420">
        <f ca="1">IFERROR(__xludf.DUMMYFUNCTION("IMPORTRANGE(""https://docs.google.com/spreadsheets/d/11923uPwbBZFjjGgGUA6NLw09EwE0CqkOc4q9oUmW1yo/edit?usp=sharing"",""เชียงใหม่!J383"")"),0)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IFERROR(__xludf.DUMMYFUNCTION("IMPORTRANGE(""https://docs.google.com/spreadsheets/d/11923uPwbBZFjjGgGUA6NLw09EwE0CqkOc4q9oUmW1yo/edit?usp=sharing"",""เชียงใหม่!I384"")"),0)</f>
        <v>0</v>
      </c>
      <c r="J489" s="188">
        <f ca="1">IFERROR(__xludf.DUMMYFUNCTION("IMPORTRANGE(""https://docs.google.com/spreadsheets/d/11923uPwbBZFjjGgGUA6NLw09EwE0CqkOc4q9oUmW1yo/edit?usp=sharing"",""เชียงใหม่!J384"")"),0)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IFERROR(__xludf.DUMMYFUNCTION("IMPORTRANGE(""https://docs.google.com/spreadsheets/d/11923uPwbBZFjjGgGUA6NLw09EwE0CqkOc4q9oUmW1yo/edit?usp=sharing"",""เชียงใหม่!I385"")"),0)</f>
        <v>0</v>
      </c>
      <c r="J490" s="188">
        <f ca="1">IFERROR(__xludf.DUMMYFUNCTION("IMPORTRANGE(""https://docs.google.com/spreadsheets/d/11923uPwbBZFjjGgGUA6NLw09EwE0CqkOc4q9oUmW1yo/edit?usp=sharing"",""เชียงใหม่!J385"")"),0)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IFERROR(__xludf.DUMMYFUNCTION("IMPORTRANGE(""https://docs.google.com/spreadsheets/d/11923uPwbBZFjjGgGUA6NLw09EwE0CqkOc4q9oUmW1yo/edit?usp=sharing"",""เชียงใหม่!I386"")"),0)</f>
        <v>0</v>
      </c>
      <c r="J491" s="188">
        <f ca="1">IFERROR(__xludf.DUMMYFUNCTION("IMPORTRANGE(""https://docs.google.com/spreadsheets/d/11923uPwbBZFjjGgGUA6NLw09EwE0CqkOc4q9oUmW1yo/edit?usp=sharing"",""เชียงใหม่!J386"")"),0)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IFERROR(__xludf.DUMMYFUNCTION("IMPORTRANGE(""https://docs.google.com/spreadsheets/d/11923uPwbBZFjjGgGUA6NLw09EwE0CqkOc4q9oUmW1yo/edit?usp=sharing"",""เชียงใหม่!I387"")"),0)</f>
        <v>0</v>
      </c>
      <c r="J492" s="188">
        <f ca="1">IFERROR(__xludf.DUMMYFUNCTION("IMPORTRANGE(""https://docs.google.com/spreadsheets/d/11923uPwbBZFjjGgGUA6NLw09EwE0CqkOc4q9oUmW1yo/edit?usp=sharing"",""เชียงใหม่!J387"")"),0)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IFERROR(__xludf.DUMMYFUNCTION("IMPORTRANGE(""https://docs.google.com/spreadsheets/d/11923uPwbBZFjjGgGUA6NLw09EwE0CqkOc4q9oUmW1yo/edit?usp=sharing"",""เชียงใหม่!I388"")"),0)</f>
        <v>0</v>
      </c>
      <c r="J493" s="188">
        <f ca="1">IFERROR(__xludf.DUMMYFUNCTION("IMPORTRANGE(""https://docs.google.com/spreadsheets/d/11923uPwbBZFjjGgGUA6NLw09EwE0CqkOc4q9oUmW1yo/edit?usp=sharing"",""เชียงใหม่!J388"")"),0)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IFERROR(__xludf.DUMMYFUNCTION("IMPORTRANGE(""https://docs.google.com/spreadsheets/d/11923uPwbBZFjjGgGUA6NLw09EwE0CqkOc4q9oUmW1yo/edit?usp=sharing"",""เชียงใหม่!I389"")"),0)</f>
        <v>0</v>
      </c>
      <c r="J494" s="436">
        <f ca="1">IFERROR(__xludf.DUMMYFUNCTION("IMPORTRANGE(""https://docs.google.com/spreadsheets/d/11923uPwbBZFjjGgGUA6NLw09EwE0CqkOc4q9oUmW1yo/edit?usp=sharing"",""เชียงใหม่!J389"")"),0)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IFERROR(__xludf.DUMMYFUNCTION("IMPORTRANGE(""https://docs.google.com/spreadsheets/d/11923uPwbBZFjjGgGUA6NLw09EwE0CqkOc4q9oUmW1yo/edit?usp=sharing"",""เชียงใหม่!I390"")"),0)</f>
        <v>0</v>
      </c>
      <c r="J495" s="436">
        <f ca="1">IFERROR(__xludf.DUMMYFUNCTION("IMPORTRANGE(""https://docs.google.com/spreadsheets/d/11923uPwbBZFjjGgGUA6NLw09EwE0CqkOc4q9oUmW1yo/edit?usp=sharing"",""เชียงใหม่!J390"")"),0)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IFERROR(__xludf.DUMMYFUNCTION("IMPORTRANGE(""https://docs.google.com/spreadsheets/d/11923uPwbBZFjjGgGUA6NLw09EwE0CqkOc4q9oUmW1yo/edit?usp=sharing"",""เชียงใหม่!I391"")"),0)</f>
        <v>0</v>
      </c>
      <c r="J496" s="436">
        <f ca="1">IFERROR(__xludf.DUMMYFUNCTION("IMPORTRANGE(""https://docs.google.com/spreadsheets/d/11923uPwbBZFjjGgGUA6NLw09EwE0CqkOc4q9oUmW1yo/edit?usp=sharing"",""เชียงใหม่!J391"")"),0)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IFERROR(__xludf.DUMMYFUNCTION("IMPORTRANGE(""https://docs.google.com/spreadsheets/d/11923uPwbBZFjjGgGUA6NLw09EwE0CqkOc4q9oUmW1yo/edit?usp=sharing"",""เชียงใหม่!I392"")"),5091)</f>
        <v>5091</v>
      </c>
      <c r="J497" s="443">
        <f ca="1">IFERROR(__xludf.DUMMYFUNCTION("IMPORTRANGE(""https://docs.google.com/spreadsheets/d/11923uPwbBZFjjGgGUA6NLw09EwE0CqkOc4q9oUmW1yo/edit?usp=sharing"",""เชียงใหม่!J392"")"),3473.1)</f>
        <v>3473.1</v>
      </c>
      <c r="K497" s="444">
        <f t="shared" ca="1" si="117"/>
        <v>68.220388921626395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IFERROR(__xludf.DUMMYFUNCTION("IMPORTRANGE(""https://docs.google.com/spreadsheets/d/11923uPwbBZFjjGgGUA6NLw09EwE0CqkOc4q9oUmW1yo/edit?usp=sharing"",""เชียงใหม่!I393"")"),5091)</f>
        <v>5091</v>
      </c>
      <c r="J498" s="420">
        <f ca="1">IFERROR(__xludf.DUMMYFUNCTION("IMPORTRANGE(""https://docs.google.com/spreadsheets/d/11923uPwbBZFjjGgGUA6NLw09EwE0CqkOc4q9oUmW1yo/edit?usp=sharing"",""เชียงใหม่!J393"")"),3473.1)</f>
        <v>3473.1</v>
      </c>
      <c r="K498" s="201">
        <f t="shared" ca="1" si="117"/>
        <v>68.220388921626395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IFERROR(__xludf.DUMMYFUNCTION("IMPORTRANGE(""https://docs.google.com/spreadsheets/d/11923uPwbBZFjjGgGUA6NLw09EwE0CqkOc4q9oUmW1yo/edit?usp=sharing"",""เชียงใหม่!I394"")"),629)</f>
        <v>629</v>
      </c>
      <c r="J499" s="420">
        <f ca="1">IFERROR(__xludf.DUMMYFUNCTION("IMPORTRANGE(""https://docs.google.com/spreadsheets/d/11923uPwbBZFjjGgGUA6NLw09EwE0CqkOc4q9oUmW1yo/edit?usp=sharing"",""เชียงใหม่!J394"")"),366)</f>
        <v>366</v>
      </c>
      <c r="K499" s="201">
        <f t="shared" ca="1" si="117"/>
        <v>58.187599364069953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IFERROR(__xludf.DUMMYFUNCTION("IMPORTRANGE(""https://docs.google.com/spreadsheets/d/11923uPwbBZFjjGgGUA6NLw09EwE0CqkOc4q9oUmW1yo/edit?usp=sharing"",""เชียงใหม่!I395"")"),0)</f>
        <v>0</v>
      </c>
      <c r="J500" s="162">
        <f ca="1">IFERROR(__xludf.DUMMYFUNCTION("IMPORTRANGE(""https://docs.google.com/spreadsheets/d/11923uPwbBZFjjGgGUA6NLw09EwE0CqkOc4q9oUmW1yo/edit?usp=sharing"",""เชียงใหม่!J395"")"),3159)</f>
        <v>3159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IFERROR(__xludf.DUMMYFUNCTION("IMPORTRANGE(""https://docs.google.com/spreadsheets/d/11923uPwbBZFjjGgGUA6NLw09EwE0CqkOc4q9oUmW1yo/edit?usp=sharing"",""เชียงใหม่!I396"")"),0)</f>
        <v>0</v>
      </c>
      <c r="J501" s="162">
        <f ca="1">IFERROR(__xludf.DUMMYFUNCTION("IMPORTRANGE(""https://docs.google.com/spreadsheets/d/11923uPwbBZFjjGgGUA6NLw09EwE0CqkOc4q9oUmW1yo/edit?usp=sharing"",""เชียงใหม่!J396"")"),336)</f>
        <v>336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IFERROR(__xludf.DUMMYFUNCTION("IMPORTRANGE(""https://docs.google.com/spreadsheets/d/11923uPwbBZFjjGgGUA6NLw09EwE0CqkOc4q9oUmW1yo/edit?usp=sharing"",""เชียงใหม่!I397"")"),0)</f>
        <v>0</v>
      </c>
      <c r="J502" s="188">
        <f ca="1">IFERROR(__xludf.DUMMYFUNCTION("IMPORTRANGE(""https://docs.google.com/spreadsheets/d/11923uPwbBZFjjGgGUA6NLw09EwE0CqkOc4q9oUmW1yo/edit?usp=sharing"",""เชียงใหม่!J397"")"),487)</f>
        <v>487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IFERROR(__xludf.DUMMYFUNCTION("IMPORTRANGE(""https://docs.google.com/spreadsheets/d/11923uPwbBZFjjGgGUA6NLw09EwE0CqkOc4q9oUmW1yo/edit?usp=sharing"",""เชียงใหม่!I398"")"),0)</f>
        <v>0</v>
      </c>
      <c r="J503" s="197">
        <f ca="1">IFERROR(__xludf.DUMMYFUNCTION("IMPORTRANGE(""https://docs.google.com/spreadsheets/d/11923uPwbBZFjjGgGUA6NLw09EwE0CqkOc4q9oUmW1yo/edit?usp=sharing"",""เชียงใหม่!J398"")"),42)</f>
        <v>42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IFERROR(__xludf.DUMMYFUNCTION("IMPORTRANGE(""https://docs.google.com/spreadsheets/d/11923uPwbBZFjjGgGUA6NLw09EwE0CqkOc4q9oUmW1yo/edit?usp=sharing"",""เชียงใหม่!I399"")"),0)</f>
        <v>0</v>
      </c>
      <c r="J504" s="188">
        <f ca="1">IFERROR(__xludf.DUMMYFUNCTION("IMPORTRANGE(""https://docs.google.com/spreadsheets/d/11923uPwbBZFjjGgGUA6NLw09EwE0CqkOc4q9oUmW1yo/edit?usp=sharing"",""เชียงใหม่!J399"")"),2672)</f>
        <v>2672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IFERROR(__xludf.DUMMYFUNCTION("IMPORTRANGE(""https://docs.google.com/spreadsheets/d/11923uPwbBZFjjGgGUA6NLw09EwE0CqkOc4q9oUmW1yo/edit?usp=sharing"",""เชียงใหม่!I400"")"),0)</f>
        <v>0</v>
      </c>
      <c r="J505" s="197">
        <f ca="1">IFERROR(__xludf.DUMMYFUNCTION("IMPORTRANGE(""https://docs.google.com/spreadsheets/d/11923uPwbBZFjjGgGUA6NLw09EwE0CqkOc4q9oUmW1yo/edit?usp=sharing"",""เชียงใหม่!J400"")"),294)</f>
        <v>294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IFERROR(__xludf.DUMMYFUNCTION("IMPORTRANGE(""https://docs.google.com/spreadsheets/d/11923uPwbBZFjjGgGUA6NLw09EwE0CqkOc4q9oUmW1yo/edit?usp=sharing"",""เชียงใหม่!I401"")"),0)</f>
        <v>0</v>
      </c>
      <c r="J506" s="188">
        <f ca="1">IFERROR(__xludf.DUMMYFUNCTION("IMPORTRANGE(""https://docs.google.com/spreadsheets/d/11923uPwbBZFjjGgGUA6NLw09EwE0CqkOc4q9oUmW1yo/edit?usp=sharing"",""เชียงใหม่!J401"")"),0)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IFERROR(__xludf.DUMMYFUNCTION("IMPORTRANGE(""https://docs.google.com/spreadsheets/d/11923uPwbBZFjjGgGUA6NLw09EwE0CqkOc4q9oUmW1yo/edit?usp=sharing"",""เชียงใหม่!I402"")"),0)</f>
        <v>0</v>
      </c>
      <c r="J507" s="197">
        <f ca="1">IFERROR(__xludf.DUMMYFUNCTION("IMPORTRANGE(""https://docs.google.com/spreadsheets/d/11923uPwbBZFjjGgGUA6NLw09EwE0CqkOc4q9oUmW1yo/edit?usp=sharing"",""เชียงใหม่!J402"")"),0)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IFERROR(__xludf.DUMMYFUNCTION("IMPORTRANGE(""https://docs.google.com/spreadsheets/d/11923uPwbBZFjjGgGUA6NLw09EwE0CqkOc4q9oUmW1yo/edit?usp=sharing"",""เชียงใหม่!I403"")"),0)</f>
        <v>0</v>
      </c>
      <c r="J508" s="162">
        <f ca="1">IFERROR(__xludf.DUMMYFUNCTION("IMPORTRANGE(""https://docs.google.com/spreadsheets/d/11923uPwbBZFjjGgGUA6NLw09EwE0CqkOc4q9oUmW1yo/edit?usp=sharing"",""เชียงใหม่!J403"")"),13.1)</f>
        <v>13.1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IFERROR(__xludf.DUMMYFUNCTION("IMPORTRANGE(""https://docs.google.com/spreadsheets/d/11923uPwbBZFjjGgGUA6NLw09EwE0CqkOc4q9oUmW1yo/edit?usp=sharing"",""เชียงใหม่!I404"")"),0)</f>
        <v>0</v>
      </c>
      <c r="J509" s="162">
        <f ca="1">IFERROR(__xludf.DUMMYFUNCTION("IMPORTRANGE(""https://docs.google.com/spreadsheets/d/11923uPwbBZFjjGgGUA6NLw09EwE0CqkOc4q9oUmW1yo/edit?usp=sharing"",""เชียงใหม่!J404"")"),6)</f>
        <v>6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IFERROR(__xludf.DUMMYFUNCTION("IMPORTRANGE(""https://docs.google.com/spreadsheets/d/11923uPwbBZFjjGgGUA6NLw09EwE0CqkOc4q9oUmW1yo/edit?usp=sharing"",""เชียงใหม่!I405"")"),0)</f>
        <v>0</v>
      </c>
      <c r="J510" s="561">
        <f ca="1">IFERROR(__xludf.DUMMYFUNCTION("IMPORTRANGE(""https://docs.google.com/spreadsheets/d/11923uPwbBZFjjGgGUA6NLw09EwE0CqkOc4q9oUmW1yo/edit?usp=sharing"",""เชียงใหม่!J405"")"),0.1)</f>
        <v>0.1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IFERROR(__xludf.DUMMYFUNCTION("IMPORTRANGE(""https://docs.google.com/spreadsheets/d/11923uPwbBZFjjGgGUA6NLw09EwE0CqkOc4q9oUmW1yo/edit?usp=sharing"",""เชียงใหม่!I406"")"),0)</f>
        <v>0</v>
      </c>
      <c r="J511" s="197">
        <f ca="1">IFERROR(__xludf.DUMMYFUNCTION("IMPORTRANGE(""https://docs.google.com/spreadsheets/d/11923uPwbBZFjjGgGUA6NLw09EwE0CqkOc4q9oUmW1yo/edit?usp=sharing"",""เชียงใหม่!J406"")"),1)</f>
        <v>1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IFERROR(__xludf.DUMMYFUNCTION("IMPORTRANGE(""https://docs.google.com/spreadsheets/d/11923uPwbBZFjjGgGUA6NLw09EwE0CqkOc4q9oUmW1yo/edit?usp=sharing"",""เชียงใหม่!I407"")"),0)</f>
        <v>0</v>
      </c>
      <c r="J512" s="197">
        <f ca="1">IFERROR(__xludf.DUMMYFUNCTION("IMPORTRANGE(""https://docs.google.com/spreadsheets/d/11923uPwbBZFjjGgGUA6NLw09EwE0CqkOc4q9oUmW1yo/edit?usp=sharing"",""เชียงใหม่!J407"")"),13)</f>
        <v>13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IFERROR(__xludf.DUMMYFUNCTION("IMPORTRANGE(""https://docs.google.com/spreadsheets/d/11923uPwbBZFjjGgGUA6NLw09EwE0CqkOc4q9oUmW1yo/edit?usp=sharing"",""เชียงใหม่!I408"")"),0)</f>
        <v>0</v>
      </c>
      <c r="J513" s="197">
        <f ca="1">IFERROR(__xludf.DUMMYFUNCTION("IMPORTRANGE(""https://docs.google.com/spreadsheets/d/11923uPwbBZFjjGgGUA6NLw09EwE0CqkOc4q9oUmW1yo/edit?usp=sharing"",""เชียงใหม่!J408"")"),5)</f>
        <v>5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IFERROR(__xludf.DUMMYFUNCTION("IMPORTRANGE(""https://docs.google.com/spreadsheets/d/11923uPwbBZFjjGgGUA6NLw09EwE0CqkOc4q9oUmW1yo/edit?usp=sharing"",""เชียงใหม่!I409"")"),0)</f>
        <v>0</v>
      </c>
      <c r="J514" s="197">
        <f ca="1">IFERROR(__xludf.DUMMYFUNCTION("IMPORTRANGE(""https://docs.google.com/spreadsheets/d/11923uPwbBZFjjGgGUA6NLw09EwE0CqkOc4q9oUmW1yo/edit?usp=sharing"",""เชียงใหม่!J409"")"),301)</f>
        <v>301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IFERROR(__xludf.DUMMYFUNCTION("IMPORTRANGE(""https://docs.google.com/spreadsheets/d/11923uPwbBZFjjGgGUA6NLw09EwE0CqkOc4q9oUmW1yo/edit?usp=sharing"",""เชียงใหม่!I410"")"),0)</f>
        <v>0</v>
      </c>
      <c r="J515" s="197">
        <f ca="1">IFERROR(__xludf.DUMMYFUNCTION("IMPORTRANGE(""https://docs.google.com/spreadsheets/d/11923uPwbBZFjjGgGUA6NLw09EwE0CqkOc4q9oUmW1yo/edit?usp=sharing"",""เชียงใหม่!J410"")"),24)</f>
        <v>24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IFERROR(__xludf.DUMMYFUNCTION("IMPORTRANGE(""https://docs.google.com/spreadsheets/d/11923uPwbBZFjjGgGUA6NLw09EwE0CqkOc4q9oUmW1yo/edit?usp=sharing"",""เชียงใหม่!I411"")"),0)</f>
        <v>0</v>
      </c>
      <c r="J516" s="267">
        <f ca="1">IFERROR(__xludf.DUMMYFUNCTION("IMPORTRANGE(""https://docs.google.com/spreadsheets/d/11923uPwbBZFjjGgGUA6NLw09EwE0CqkOc4q9oUmW1yo/edit?usp=sharing"",""เชียงใหม่!J411"")"),0)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IFERROR(__xludf.DUMMYFUNCTION("IMPORTRANGE(""https://docs.google.com/spreadsheets/d/11923uPwbBZFjjGgGUA6NLw09EwE0CqkOc4q9oUmW1yo/edit?usp=sharing"",""เชียงใหม่!I412"")"),0)</f>
        <v>0</v>
      </c>
      <c r="J517" s="284">
        <f ca="1">IFERROR(__xludf.DUMMYFUNCTION("IMPORTRANGE(""https://docs.google.com/spreadsheets/d/11923uPwbBZFjjGgGUA6NLw09EwE0CqkOc4q9oUmW1yo/edit?usp=sharing"",""เชียงใหม่!J412"")"),0)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IFERROR(__xludf.DUMMYFUNCTION("IMPORTRANGE(""https://docs.google.com/spreadsheets/d/11923uPwbBZFjjGgGUA6NLw09EwE0CqkOc4q9oUmW1yo/edit?usp=sharing"",""เชียงใหม่!I413"")"),0)</f>
        <v>0</v>
      </c>
      <c r="J518" s="284">
        <f ca="1">IFERROR(__xludf.DUMMYFUNCTION("IMPORTRANGE(""https://docs.google.com/spreadsheets/d/11923uPwbBZFjjGgGUA6NLw09EwE0CqkOc4q9oUmW1yo/edit?usp=sharing"",""เชียงใหม่!J413"")"),0)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IFERROR(__xludf.DUMMYFUNCTION("IMPORTRANGE(""https://docs.google.com/spreadsheets/d/11923uPwbBZFjjGgGUA6NLw09EwE0CqkOc4q9oUmW1yo/edit?usp=sharing"",""เชียงใหม่!I414"")"),0)</f>
        <v>0</v>
      </c>
      <c r="J519" s="187">
        <f ca="1">IFERROR(__xludf.DUMMYFUNCTION("IMPORTRANGE(""https://docs.google.com/spreadsheets/d/11923uPwbBZFjjGgGUA6NLw09EwE0CqkOc4q9oUmW1yo/edit?usp=sharing"",""เชียงใหม่!J414"")"),0)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IFERROR(__xludf.DUMMYFUNCTION("IMPORTRANGE(""https://docs.google.com/spreadsheets/d/11923uPwbBZFjjGgGUA6NLw09EwE0CqkOc4q9oUmW1yo/edit?usp=sharing"",""เชียงใหม่!I415"")"),0)</f>
        <v>0</v>
      </c>
      <c r="J520" s="187">
        <f ca="1">IFERROR(__xludf.DUMMYFUNCTION("IMPORTRANGE(""https://docs.google.com/spreadsheets/d/11923uPwbBZFjjGgGUA6NLw09EwE0CqkOc4q9oUmW1yo/edit?usp=sharing"",""เชียงใหม่!J415"")"),0)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IFERROR(__xludf.DUMMYFUNCTION("IMPORTRANGE(""https://docs.google.com/spreadsheets/d/11923uPwbBZFjjGgGUA6NLw09EwE0CqkOc4q9oUmW1yo/edit?usp=sharing"",""เชียงใหม่!I416"")"),0)</f>
        <v>0</v>
      </c>
      <c r="J521" s="187">
        <f ca="1">IFERROR(__xludf.DUMMYFUNCTION("IMPORTRANGE(""https://docs.google.com/spreadsheets/d/11923uPwbBZFjjGgGUA6NLw09EwE0CqkOc4q9oUmW1yo/edit?usp=sharing"",""เชียงใหม่!J416"")"),0)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IFERROR(__xludf.DUMMYFUNCTION("IMPORTRANGE(""https://docs.google.com/spreadsheets/d/11923uPwbBZFjjGgGUA6NLw09EwE0CqkOc4q9oUmW1yo/edit?usp=sharing"",""เชียงใหม่!I417"")"),0)</f>
        <v>0</v>
      </c>
      <c r="J522" s="187">
        <f ca="1">IFERROR(__xludf.DUMMYFUNCTION("IMPORTRANGE(""https://docs.google.com/spreadsheets/d/11923uPwbBZFjjGgGUA6NLw09EwE0CqkOc4q9oUmW1yo/edit?usp=sharing"",""เชียงใหม่!J417"")"),0)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IFERROR(__xludf.DUMMYFUNCTION("IMPORTRANGE(""https://docs.google.com/spreadsheets/d/11923uPwbBZFjjGgGUA6NLw09EwE0CqkOc4q9oUmW1yo/edit?usp=sharing"",""เชียงใหม่!I418"")"),0)</f>
        <v>0</v>
      </c>
      <c r="J523" s="187">
        <f ca="1">IFERROR(__xludf.DUMMYFUNCTION("IMPORTRANGE(""https://docs.google.com/spreadsheets/d/11923uPwbBZFjjGgGUA6NLw09EwE0CqkOc4q9oUmW1yo/edit?usp=sharing"",""เชียงใหม่!J418"")"),59)</f>
        <v>59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IFERROR(__xludf.DUMMYFUNCTION("IMPORTRANGE(""https://docs.google.com/spreadsheets/d/11923uPwbBZFjjGgGUA6NLw09EwE0CqkOc4q9oUmW1yo/edit?usp=sharing"",""เชียงใหม่!I419"")"),0)</f>
        <v>0</v>
      </c>
      <c r="J524" s="187">
        <f ca="1">IFERROR(__xludf.DUMMYFUNCTION("IMPORTRANGE(""https://docs.google.com/spreadsheets/d/11923uPwbBZFjjGgGUA6NLw09EwE0CqkOc4q9oUmW1yo/edit?usp=sharing"",""เชียงใหม่!J419"")"),15)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IFERROR(__xludf.DUMMYFUNCTION("IMPORTRANGE(""https://docs.google.com/spreadsheets/d/11923uPwbBZFjjGgGUA6NLw09EwE0CqkOc4q9oUmW1yo/edit?usp=sharing"",""เชียงใหม่!I420"")"),59)</f>
        <v>59</v>
      </c>
      <c r="J525" s="284">
        <f ca="1">IFERROR(__xludf.DUMMYFUNCTION("IMPORTRANGE(""https://docs.google.com/spreadsheets/d/11923uPwbBZFjjGgGUA6NLw09EwE0CqkOc4q9oUmW1yo/edit?usp=sharing"",""เชียงใหม่!J420"")"),0)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IFERROR(__xludf.DUMMYFUNCTION("IMPORTRANGE(""https://docs.google.com/spreadsheets/d/11923uPwbBZFjjGgGUA6NLw09EwE0CqkOc4q9oUmW1yo/edit?usp=sharing"",""เชียงใหม่!I421"")"),15)</f>
        <v>15</v>
      </c>
      <c r="J526" s="284">
        <f ca="1">IFERROR(__xludf.DUMMYFUNCTION("IMPORTRANGE(""https://docs.google.com/spreadsheets/d/11923uPwbBZFjjGgGUA6NLw09EwE0CqkOc4q9oUmW1yo/edit?usp=sharing"",""เชียงใหม่!J421"")"),0)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IFERROR(__xludf.DUMMYFUNCTION("IMPORTRANGE(""https://docs.google.com/spreadsheets/d/11923uPwbBZFjjGgGUA6NLw09EwE0CqkOc4q9oUmW1yo/edit?usp=sharing"",""เชียงใหม่!I422"")"),0)</f>
        <v>0</v>
      </c>
      <c r="J527" s="197">
        <f ca="1">IFERROR(__xludf.DUMMYFUNCTION("IMPORTRANGE(""https://docs.google.com/spreadsheets/d/11923uPwbBZFjjGgGUA6NLw09EwE0CqkOc4q9oUmW1yo/edit?usp=sharing"",""เชียงใหม่!J422"")"),0)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IFERROR(__xludf.DUMMYFUNCTION("IMPORTRANGE(""https://docs.google.com/spreadsheets/d/11923uPwbBZFjjGgGUA6NLw09EwE0CqkOc4q9oUmW1yo/edit?usp=sharing"",""เชียงใหม่!I423"")"),0)</f>
        <v>0</v>
      </c>
      <c r="J528" s="197">
        <f ca="1">IFERROR(__xludf.DUMMYFUNCTION("IMPORTRANGE(""https://docs.google.com/spreadsheets/d/11923uPwbBZFjjGgGUA6NLw09EwE0CqkOc4q9oUmW1yo/edit?usp=sharing"",""เชียงใหม่!J423"")"),0)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IFERROR(__xludf.DUMMYFUNCTION("IMPORTRANGE(""https://docs.google.com/spreadsheets/d/11923uPwbBZFjjGgGUA6NLw09EwE0CqkOc4q9oUmW1yo/edit?usp=sharing"",""เชียงใหม่!I424"")"),0)</f>
        <v>0</v>
      </c>
      <c r="J529" s="197">
        <f ca="1">IFERROR(__xludf.DUMMYFUNCTION("IMPORTRANGE(""https://docs.google.com/spreadsheets/d/11923uPwbBZFjjGgGUA6NLw09EwE0CqkOc4q9oUmW1yo/edit?usp=sharing"",""เชียงใหม่!J424"")"),0)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IFERROR(__xludf.DUMMYFUNCTION("IMPORTRANGE(""https://docs.google.com/spreadsheets/d/11923uPwbBZFjjGgGUA6NLw09EwE0CqkOc4q9oUmW1yo/edit?usp=sharing"",""เชียงใหม่!I425"")"),0)</f>
        <v>0</v>
      </c>
      <c r="J530" s="197">
        <f ca="1">IFERROR(__xludf.DUMMYFUNCTION("IMPORTRANGE(""https://docs.google.com/spreadsheets/d/11923uPwbBZFjjGgGUA6NLw09EwE0CqkOc4q9oUmW1yo/edit?usp=sharing"",""เชียงใหม่!J425"")"),0)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IFERROR(__xludf.DUMMYFUNCTION("IMPORTRANGE(""https://docs.google.com/spreadsheets/d/11923uPwbBZFjjGgGUA6NLw09EwE0CqkOc4q9oUmW1yo/edit?usp=sharing"",""เชียงใหม่!I426"")"),0)</f>
        <v>0</v>
      </c>
      <c r="J531" s="197">
        <f ca="1">IFERROR(__xludf.DUMMYFUNCTION("IMPORTRANGE(""https://docs.google.com/spreadsheets/d/11923uPwbBZFjjGgGUA6NLw09EwE0CqkOc4q9oUmW1yo/edit?usp=sharing"",""เชียงใหม่!J426"")"),0)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IFERROR(__xludf.DUMMYFUNCTION("IMPORTRANGE(""https://docs.google.com/spreadsheets/d/11923uPwbBZFjjGgGUA6NLw09EwE0CqkOc4q9oUmW1yo/edit?usp=sharing"",""เชียงใหม่!I427"")"),0)</f>
        <v>0</v>
      </c>
      <c r="J532" s="466">
        <f ca="1">IFERROR(__xludf.DUMMYFUNCTION("IMPORTRANGE(""https://docs.google.com/spreadsheets/d/11923uPwbBZFjjGgGUA6NLw09EwE0CqkOc4q9oUmW1yo/edit?usp=sharing"",""เชียงใหม่!J427"")"),0)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IFERROR(__xludf.DUMMYFUNCTION("IMPORTRANGE(""https://docs.google.com/spreadsheets/d/11923uPwbBZFjjGgGUA6NLw09EwE0CqkOc4q9oUmW1yo/edit?usp=sharing"",""เชียงใหม่!I428"")"),26)</f>
        <v>26</v>
      </c>
      <c r="J533" s="409">
        <f ca="1">IFERROR(__xludf.DUMMYFUNCTION("IMPORTRANGE(""https://docs.google.com/spreadsheets/d/11923uPwbBZFjjGgGUA6NLw09EwE0CqkOc4q9oUmW1yo/edit?usp=sharing"",""เชียงใหม่!J428"")"),26)</f>
        <v>26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IFERROR(__xludf.DUMMYFUNCTION("IMPORTRANGE(""https://docs.google.com/spreadsheets/d/11923uPwbBZFjjGgGUA6NLw09EwE0CqkOc4q9oUmW1yo/edit?usp=sharing"",""เชียงใหม่!L428"")"),37740)</f>
        <v>37740</v>
      </c>
      <c r="M533" s="411"/>
      <c r="N533" s="411">
        <f ca="1">IFERROR(__xludf.DUMMYFUNCTION("IMPORTRANGE(""https://docs.google.com/spreadsheets/d/11923uPwbBZFjjGgGUA6NLw09EwE0CqkOc4q9oUmW1yo/edit?usp=sharing"",""เชียงใหม่!M428"")"),26444)</f>
        <v>26444</v>
      </c>
      <c r="O533" s="411">
        <f t="shared" ref="O533:O537" ca="1" si="118">+IF(L533&gt;0,N533*100/L533,0)</f>
        <v>70.068892421833596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IFERROR(__xludf.DUMMYFUNCTION("IMPORTRANGE(""https://docs.google.com/spreadsheets/d/11923uPwbBZFjjGgGUA6NLw09EwE0CqkOc4q9oUmW1yo/edit?usp=sharing"",""เชียงใหม่!L429"")"),0)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IFERROR(__xludf.DUMMYFUNCTION("IMPORTRANGE(""https://docs.google.com/spreadsheets/d/11923uPwbBZFjjGgGUA6NLw09EwE0CqkOc4q9oUmW1yo/edit?usp=sharing"",""เชียงใหม่!M429"")"),0)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IFERROR(__xludf.DUMMYFUNCTION("IMPORTRANGE(""https://docs.google.com/spreadsheets/d/11923uPwbBZFjjGgGUA6NLw09EwE0CqkOc4q9oUmW1yo/edit?usp=sharing"",""เชียงใหม่!L430"")"),37740)</f>
        <v>37740</v>
      </c>
      <c r="M535" s="165"/>
      <c r="N535" s="168">
        <f ca="1">IFERROR(__xludf.DUMMYFUNCTION("IMPORTRANGE(""https://docs.google.com/spreadsheets/d/11923uPwbBZFjjGgGUA6NLw09EwE0CqkOc4q9oUmW1yo/edit?usp=sharing"",""เชียงใหม่!M430"")"),26444)</f>
        <v>26444</v>
      </c>
      <c r="O535" s="168">
        <f t="shared" ca="1" si="118"/>
        <v>70.068892421833596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IFERROR(__xludf.DUMMYFUNCTION("IMPORTRANGE(""https://docs.google.com/spreadsheets/d/11923uPwbBZFjjGgGUA6NLw09EwE0CqkOc4q9oUmW1yo/edit?usp=sharing"",""เชียงใหม่!L431"")"),0)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IFERROR(__xludf.DUMMYFUNCTION("IMPORTRANGE(""https://docs.google.com/spreadsheets/d/11923uPwbBZFjjGgGUA6NLw09EwE0CqkOc4q9oUmW1yo/edit?usp=sharing"",""เชียงใหม่!M431"")"),0)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IFERROR(__xludf.DUMMYFUNCTION("IMPORTRANGE(""https://docs.google.com/spreadsheets/d/11923uPwbBZFjjGgGUA6NLw09EwE0CqkOc4q9oUmW1yo/edit?usp=sharing"",""เชียงใหม่!L432"")"),37740)</f>
        <v>37740</v>
      </c>
      <c r="M537" s="168"/>
      <c r="N537" s="168">
        <f ca="1">IFERROR(__xludf.DUMMYFUNCTION("IMPORTRANGE(""https://docs.google.com/spreadsheets/d/11923uPwbBZFjjGgGUA6NLw09EwE0CqkOc4q9oUmW1yo/edit?usp=sharing"",""เชียงใหม่!M432"")"),26444)</f>
        <v>26444</v>
      </c>
      <c r="O537" s="168">
        <f t="shared" ca="1" si="118"/>
        <v>70.068892421833596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IFERROR(__xludf.DUMMYFUNCTION("IMPORTRANGE(""https://docs.google.com/spreadsheets/d/11923uPwbBZFjjGgGUA6NLw09EwE0CqkOc4q9oUmW1yo/edit?usp=sharing"",""เชียงใหม่!M433"")"),20904)</f>
        <v>20904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IFERROR(__xludf.DUMMYFUNCTION("IMPORTRANGE(""https://docs.google.com/spreadsheets/d/11923uPwbBZFjjGgGUA6NLw09EwE0CqkOc4q9oUmW1yo/edit?usp=sharing"",""เชียงใหม่!M434"")"),0)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IFERROR(__xludf.DUMMYFUNCTION("IMPORTRANGE(""https://docs.google.com/spreadsheets/d/11923uPwbBZFjjGgGUA6NLw09EwE0CqkOc4q9oUmW1yo/edit?usp=sharing"",""เชียงใหม่!M435"")"),0)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IFERROR(__xludf.DUMMYFUNCTION("IMPORTRANGE(""https://docs.google.com/spreadsheets/d/11923uPwbBZFjjGgGUA6NLw09EwE0CqkOc4q9oUmW1yo/edit?usp=sharing"",""เชียงใหม่!M436"")"),5540)</f>
        <v>5540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IFERROR(__xludf.DUMMYFUNCTION("IMPORTRANGE(""https://docs.google.com/spreadsheets/d/11923uPwbBZFjjGgGUA6NLw09EwE0CqkOc4q9oUmW1yo/edit?usp=sharing"",""เชียงใหม่!J438"")"),0)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IFERROR(__xludf.DUMMYFUNCTION("IMPORTRANGE(""https://docs.google.com/spreadsheets/d/11923uPwbBZFjjGgGUA6NLw09EwE0CqkOc4q9oUmW1yo/edit?usp=sharing"",""เชียงใหม่!J439"")"),1)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IFERROR(__xludf.DUMMYFUNCTION("IMPORTRANGE(""https://docs.google.com/spreadsheets/d/11923uPwbBZFjjGgGUA6NLw09EwE0CqkOc4q9oUmW1yo/edit?usp=sharing"",""เชียงใหม่!J440"")"),1)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IFERROR(__xludf.DUMMYFUNCTION("IMPORTRANGE(""https://docs.google.com/spreadsheets/d/11923uPwbBZFjjGgGUA6NLw09EwE0CqkOc4q9oUmW1yo/edit?usp=sharing"",""เชียงใหม่!J441"")"),1)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IFERROR(__xludf.DUMMYFUNCTION("IMPORTRANGE(""https://docs.google.com/spreadsheets/d/11923uPwbBZFjjGgGUA6NLw09EwE0CqkOc4q9oUmW1yo/edit?usp=sharing"",""เชียงใหม่!I442"")"),26)</f>
        <v>26</v>
      </c>
      <c r="J547" s="188">
        <f ca="1">IFERROR(__xludf.DUMMYFUNCTION("IMPORTRANGE(""https://docs.google.com/spreadsheets/d/11923uPwbBZFjjGgGUA6NLw09EwE0CqkOc4q9oUmW1yo/edit?usp=sharing"",""เชียงใหม่!J442"")"),26)</f>
        <v>26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IFERROR(__xludf.DUMMYFUNCTION("IMPORTRANGE(""https://docs.google.com/spreadsheets/d/11923uPwbBZFjjGgGUA6NLw09EwE0CqkOc4q9oUmW1yo/edit?usp=sharing"",""เชียงใหม่!J166"")"),0)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IFERROR(__xludf.DUMMYFUNCTION("IMPORTRANGE(""https://docs.google.com/spreadsheets/d/11923uPwbBZFjjGgGUA6NLw09EwE0CqkOc4q9oUmW1yo/edit?usp=sharing"",""เชียงใหม่!J444"")"),0)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IFERROR(__xludf.DUMMYFUNCTION("IMPORTRANGE(""https://docs.google.com/spreadsheets/d/11923uPwbBZFjjGgGUA6NLw09EwE0CqkOc4q9oUmW1yo/edit?usp=sharing"",""เชียงใหม่!J445"")"),0)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IFERROR(__xludf.DUMMYFUNCTION("IMPORTRANGE(""https://docs.google.com/spreadsheets/d/11923uPwbBZFjjGgGUA6NLw09EwE0CqkOc4q9oUmW1yo/edit?usp=sharing"",""เชียงใหม่!I446"")"),3000)</f>
        <v>3000</v>
      </c>
      <c r="J551" s="409">
        <f ca="1">IFERROR(__xludf.DUMMYFUNCTION("IMPORTRANGE(""https://docs.google.com/spreadsheets/d/11923uPwbBZFjjGgGUA6NLw09EwE0CqkOc4q9oUmW1yo/edit?usp=sharing"",""เชียงใหม่!J446"")"),1680)</f>
        <v>1680</v>
      </c>
      <c r="K551" s="410">
        <f ca="1">IF(I551&gt;0,J551*100/I551,0)</f>
        <v>56</v>
      </c>
      <c r="L551" s="411">
        <f ca="1">IFERROR(__xludf.DUMMYFUNCTION("IMPORTRANGE(""https://docs.google.com/spreadsheets/d/11923uPwbBZFjjGgGUA6NLw09EwE0CqkOc4q9oUmW1yo/edit?usp=sharing"",""เชียงใหม่!L446"")"),188000)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IFERROR(__xludf.DUMMYFUNCTION("IMPORTRANGE(""https://docs.google.com/spreadsheets/d/11923uPwbBZFjjGgGUA6NLw09EwE0CqkOc4q9oUmW1yo/edit?usp=sharing"",""เชียงใหม่!M446"")"),101015.019999999)</f>
        <v>101015.019999999</v>
      </c>
      <c r="O551" s="411">
        <f t="shared" ref="O551:O555" ca="1" si="120">+IF(L551&gt;0,N551*100/L551,0)</f>
        <v>53.731393617020743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IFERROR(__xludf.DUMMYFUNCTION("IMPORTRANGE(""https://docs.google.com/spreadsheets/d/11923uPwbBZFjjGgGUA6NLw09EwE0CqkOc4q9oUmW1yo/edit?usp=sharing"",""เชียงใหม่!L447"")"),0)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IFERROR(__xludf.DUMMYFUNCTION("IMPORTRANGE(""https://docs.google.com/spreadsheets/d/11923uPwbBZFjjGgGUA6NLw09EwE0CqkOc4q9oUmW1yo/edit?usp=sharing"",""เชียงใหม่!M447"")"),0)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IFERROR(__xludf.DUMMYFUNCTION("IMPORTRANGE(""https://docs.google.com/spreadsheets/d/11923uPwbBZFjjGgGUA6NLw09EwE0CqkOc4q9oUmW1yo/edit?usp=sharing"",""เชียงใหม่!L448"")"),188000)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IFERROR(__xludf.DUMMYFUNCTION("IMPORTRANGE(""https://docs.google.com/spreadsheets/d/11923uPwbBZFjjGgGUA6NLw09EwE0CqkOc4q9oUmW1yo/edit?usp=sharing"",""เชียงใหม่!M448"")"),101015.019999999)</f>
        <v>101015.019999999</v>
      </c>
      <c r="O553" s="168">
        <f t="shared" ca="1" si="120"/>
        <v>53.731393617020743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IFERROR(__xludf.DUMMYFUNCTION("IMPORTRANGE(""https://docs.google.com/spreadsheets/d/11923uPwbBZFjjGgGUA6NLw09EwE0CqkOc4q9oUmW1yo/edit?usp=sharing"",""เชียงใหม่!L449"")"),0)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IFERROR(__xludf.DUMMYFUNCTION("IMPORTRANGE(""https://docs.google.com/spreadsheets/d/11923uPwbBZFjjGgGUA6NLw09EwE0CqkOc4q9oUmW1yo/edit?usp=sharing"",""เชียงใหม่!M449"")"),0)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IFERROR(__xludf.DUMMYFUNCTION("IMPORTRANGE(""https://docs.google.com/spreadsheets/d/11923uPwbBZFjjGgGUA6NLw09EwE0CqkOc4q9oUmW1yo/edit?usp=sharing"",""เชียงใหม่!L450"")"),188000)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IFERROR(__xludf.DUMMYFUNCTION("IMPORTRANGE(""https://docs.google.com/spreadsheets/d/11923uPwbBZFjjGgGUA6NLw09EwE0CqkOc4q9oUmW1yo/edit?usp=sharing"",""เชียงใหม่!M450"")"),101015.019999999)</f>
        <v>101015.019999999</v>
      </c>
      <c r="O555" s="168">
        <f t="shared" ca="1" si="120"/>
        <v>53.731393617020743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IFERROR(__xludf.DUMMYFUNCTION("IMPORTRANGE(""https://docs.google.com/spreadsheets/d/11923uPwbBZFjjGgGUA6NLw09EwE0CqkOc4q9oUmW1yo/edit?usp=sharing"",""เชียงใหม่!M451"")"),0)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IFERROR(__xludf.DUMMYFUNCTION("IMPORTRANGE(""https://docs.google.com/spreadsheets/d/11923uPwbBZFjjGgGUA6NLw09EwE0CqkOc4q9oUmW1yo/edit?usp=sharing"",""เชียงใหม่!M452"")"),0)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IFERROR(__xludf.DUMMYFUNCTION("IMPORTRANGE(""https://docs.google.com/spreadsheets/d/11923uPwbBZFjjGgGUA6NLw09EwE0CqkOc4q9oUmW1yo/edit?usp=sharing"",""เชียงใหม่!M453"")"),40000)</f>
        <v>40000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IFERROR(__xludf.DUMMYFUNCTION("IMPORTRANGE(""https://docs.google.com/spreadsheets/d/11923uPwbBZFjjGgGUA6NLw09EwE0CqkOc4q9oUmW1yo/edit?usp=sharing"",""เชียงใหม่!M454"")"),61015.02)</f>
        <v>61015.02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IFERROR(__xludf.DUMMYFUNCTION("IMPORTRANGE(""https://docs.google.com/spreadsheets/d/11923uPwbBZFjjGgGUA6NLw09EwE0CqkOc4q9oUmW1yo/edit?usp=sharing"",""เชียงใหม่!I455"")"),3000)</f>
        <v>3000</v>
      </c>
      <c r="J560" s="162">
        <f ca="1">IFERROR(__xludf.DUMMYFUNCTION("IMPORTRANGE(""https://docs.google.com/spreadsheets/d/11923uPwbBZFjjGgGUA6NLw09EwE0CqkOc4q9oUmW1yo/edit?usp=sharing"",""เชียงใหม่!J455"")"),1680)</f>
        <v>1680</v>
      </c>
      <c r="K560" s="224">
        <f t="shared" ref="K560:K561" ca="1" si="121">IF(I560&gt;0,J560*100/I560,0)</f>
        <v>56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IFERROR(__xludf.DUMMYFUNCTION("IMPORTRANGE(""https://docs.google.com/spreadsheets/d/11923uPwbBZFjjGgGUA6NLw09EwE0CqkOc4q9oUmW1yo/edit?usp=sharing"",""เชียงใหม่!I456"")"),0)</f>
        <v>0</v>
      </c>
      <c r="J561" s="203">
        <f ca="1">IFERROR(__xludf.DUMMYFUNCTION("IMPORTRANGE(""https://docs.google.com/spreadsheets/d/11923uPwbBZFjjGgGUA6NLw09EwE0CqkOc4q9oUmW1yo/edit?usp=sharing"",""เชียงใหม่!J456"")"),331)</f>
        <v>331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IFERROR(__xludf.DUMMYFUNCTION("IMPORTRANGE(""https://docs.google.com/spreadsheets/d/11923uPwbBZFjjGgGUA6NLw09EwE0CqkOc4q9oUmW1yo/edit?usp=sharing"",""เชียงใหม่!I459"")"),1000)</f>
        <v>1000</v>
      </c>
      <c r="J564" s="370">
        <f ca="1">IFERROR(__xludf.DUMMYFUNCTION("IMPORTRANGE(""https://docs.google.com/spreadsheets/d/11923uPwbBZFjjGgGUA6NLw09EwE0CqkOc4q9oUmW1yo/edit?usp=sharing"",""เชียงใหม่!J459"")"),1074)</f>
        <v>1074</v>
      </c>
      <c r="K564" s="371">
        <f ca="1">IF(I564&gt;0,J564*100/I564,0)</f>
        <v>107.4</v>
      </c>
      <c r="L564" s="372">
        <f ca="1">IFERROR(__xludf.DUMMYFUNCTION("IMPORTRANGE(""https://docs.google.com/spreadsheets/d/11923uPwbBZFjjGgGUA6NLw09EwE0CqkOc4q9oUmW1yo/edit?usp=sharing"",""เชียงใหม่!L459"")"),130880)</f>
        <v>130880</v>
      </c>
      <c r="M564" s="372"/>
      <c r="N564" s="372">
        <f ca="1">IFERROR(__xludf.DUMMYFUNCTION("IMPORTRANGE(""https://docs.google.com/spreadsheets/d/11923uPwbBZFjjGgGUA6NLw09EwE0CqkOc4q9oUmW1yo/edit?usp=sharing"",""เชียงใหม่!M459"")"),60295.24)</f>
        <v>60295.24</v>
      </c>
      <c r="O564" s="372">
        <f t="shared" ref="O564:O568" ca="1" si="122">+IF(L564&gt;0,N564*100/L564,0)</f>
        <v>46.069101466992663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IFERROR(__xludf.DUMMYFUNCTION("IMPORTRANGE(""https://docs.google.com/spreadsheets/d/11923uPwbBZFjjGgGUA6NLw09EwE0CqkOc4q9oUmW1yo/edit?usp=sharing"",""เชียงใหม่!L460"")"),0)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IFERROR(__xludf.DUMMYFUNCTION("IMPORTRANGE(""https://docs.google.com/spreadsheets/d/11923uPwbBZFjjGgGUA6NLw09EwE0CqkOc4q9oUmW1yo/edit?usp=sharing"",""เชียงใหม่!M460"")"),0)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IFERROR(__xludf.DUMMYFUNCTION("IMPORTRANGE(""https://docs.google.com/spreadsheets/d/11923uPwbBZFjjGgGUA6NLw09EwE0CqkOc4q9oUmW1yo/edit?usp=sharing"",""เชียงใหม่!L461"")"),130880)</f>
        <v>130880</v>
      </c>
      <c r="M566" s="165"/>
      <c r="N566" s="168">
        <f ca="1">IFERROR(__xludf.DUMMYFUNCTION("IMPORTRANGE(""https://docs.google.com/spreadsheets/d/11923uPwbBZFjjGgGUA6NLw09EwE0CqkOc4q9oUmW1yo/edit?usp=sharing"",""เชียงใหม่!M461"")"),60295.24)</f>
        <v>60295.24</v>
      </c>
      <c r="O566" s="168">
        <f t="shared" ca="1" si="122"/>
        <v>46.069101466992663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IFERROR(__xludf.DUMMYFUNCTION("IMPORTRANGE(""https://docs.google.com/spreadsheets/d/11923uPwbBZFjjGgGUA6NLw09EwE0CqkOc4q9oUmW1yo/edit?usp=sharing"",""เชียงใหม่!L462"")"),0)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IFERROR(__xludf.DUMMYFUNCTION("IMPORTRANGE(""https://docs.google.com/spreadsheets/d/11923uPwbBZFjjGgGUA6NLw09EwE0CqkOc4q9oUmW1yo/edit?usp=sharing"",""เชียงใหม่!M462"")"),0)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IFERROR(__xludf.DUMMYFUNCTION("IMPORTRANGE(""https://docs.google.com/spreadsheets/d/11923uPwbBZFjjGgGUA6NLw09EwE0CqkOc4q9oUmW1yo/edit?usp=sharing"",""เชียงใหม่!L463"")"),130880)</f>
        <v>130880</v>
      </c>
      <c r="M568" s="168"/>
      <c r="N568" s="168">
        <f ca="1">IFERROR(__xludf.DUMMYFUNCTION("IMPORTRANGE(""https://docs.google.com/spreadsheets/d/11923uPwbBZFjjGgGUA6NLw09EwE0CqkOc4q9oUmW1yo/edit?usp=sharing"",""เชียงใหม่!M463"")"),60295.24)</f>
        <v>60295.24</v>
      </c>
      <c r="O568" s="168">
        <f t="shared" ca="1" si="122"/>
        <v>46.069101466992663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IFERROR(__xludf.DUMMYFUNCTION("IMPORTRANGE(""https://docs.google.com/spreadsheets/d/11923uPwbBZFjjGgGUA6NLw09EwE0CqkOc4q9oUmW1yo/edit?usp=sharing"",""เชียงใหม่!M464"")"),0)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IFERROR(__xludf.DUMMYFUNCTION("IMPORTRANGE(""https://docs.google.com/spreadsheets/d/11923uPwbBZFjjGgGUA6NLw09EwE0CqkOc4q9oUmW1yo/edit?usp=sharing"",""เชียงใหม่!M465"")"),0)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IFERROR(__xludf.DUMMYFUNCTION("IMPORTRANGE(""https://docs.google.com/spreadsheets/d/11923uPwbBZFjjGgGUA6NLw09EwE0CqkOc4q9oUmW1yo/edit?usp=sharing"",""เชียงใหม่!M466"")"),53935.24)</f>
        <v>53935.24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IFERROR(__xludf.DUMMYFUNCTION("IMPORTRANGE(""https://docs.google.com/spreadsheets/d/11923uPwbBZFjjGgGUA6NLw09EwE0CqkOc4q9oUmW1yo/edit?usp=sharing"",""เชียงใหม่!M467"")"),6360)</f>
        <v>6360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IFERROR(__xludf.DUMMYFUNCTION("IMPORTRANGE(""https://docs.google.com/spreadsheets/d/11923uPwbBZFjjGgGUA6NLw09EwE0CqkOc4q9oUmW1yo/edit?usp=sharing"",""เชียงใหม่!I468"")"),1000)</f>
        <v>1000</v>
      </c>
      <c r="J573" s="420">
        <f ca="1">IFERROR(__xludf.DUMMYFUNCTION("IMPORTRANGE(""https://docs.google.com/spreadsheets/d/11923uPwbBZFjjGgGUA6NLw09EwE0CqkOc4q9oUmW1yo/edit?usp=sharing"",""เชียงใหม่!J468"")"),1074)</f>
        <v>1074</v>
      </c>
      <c r="K573" s="201">
        <f ca="1">IF(I573&gt;0,J573*100/I573,0)</f>
        <v>107.4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IFERROR(__xludf.DUMMYFUNCTION("IMPORTRANGE(""https://docs.google.com/spreadsheets/d/11923uPwbBZFjjGgGUA6NLw09EwE0CqkOc4q9oUmW1yo/edit?usp=sharing"",""เชียงใหม่!I470"")"),0)</f>
        <v>0</v>
      </c>
      <c r="J575" s="197">
        <f ca="1">IFERROR(__xludf.DUMMYFUNCTION("IMPORTRANGE(""https://docs.google.com/spreadsheets/d/11923uPwbBZFjjGgGUA6NLw09EwE0CqkOc4q9oUmW1yo/edit?usp=sharing"",""เชียงใหม่!J470"")"),2)</f>
        <v>2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IFERROR(__xludf.DUMMYFUNCTION("IMPORTRANGE(""https://docs.google.com/spreadsheets/d/11923uPwbBZFjjGgGUA6NLw09EwE0CqkOc4q9oUmW1yo/edit?usp=sharing"",""เชียงใหม่!I471"")"),0)</f>
        <v>0</v>
      </c>
      <c r="J576" s="197">
        <f ca="1">IFERROR(__xludf.DUMMYFUNCTION("IMPORTRANGE(""https://docs.google.com/spreadsheets/d/11923uPwbBZFjjGgGUA6NLw09EwE0CqkOc4q9oUmW1yo/edit?usp=sharing"",""เชียงใหม่!J471"")"),153)</f>
        <v>153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IFERROR(__xludf.DUMMYFUNCTION("IMPORTRANGE(""https://docs.google.com/spreadsheets/d/11923uPwbBZFjjGgGUA6NLw09EwE0CqkOc4q9oUmW1yo/edit?usp=sharing"",""เชียงใหม่!I472"")"),0)</f>
        <v>0</v>
      </c>
      <c r="J577" s="188">
        <f ca="1">IFERROR(__xludf.DUMMYFUNCTION("IMPORTRANGE(""https://docs.google.com/spreadsheets/d/11923uPwbBZFjjGgGUA6NLw09EwE0CqkOc4q9oUmW1yo/edit?usp=sharing"",""เชียงใหม่!J472"")"),891)</f>
        <v>891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IFERROR(__xludf.DUMMYFUNCTION("IMPORTRANGE(""https://docs.google.com/spreadsheets/d/11923uPwbBZFjjGgGUA6NLw09EwE0CqkOc4q9oUmW1yo/edit?usp=sharing"",""เชียงใหม่!I473"")"),0)</f>
        <v>0</v>
      </c>
      <c r="J578" s="197">
        <f ca="1">IFERROR(__xludf.DUMMYFUNCTION("IMPORTRANGE(""https://docs.google.com/spreadsheets/d/11923uPwbBZFjjGgGUA6NLw09EwE0CqkOc4q9oUmW1yo/edit?usp=sharing"",""เชียงใหม่!J473"")"),1)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IFERROR(__xludf.DUMMYFUNCTION("IMPORTRANGE(""https://docs.google.com/spreadsheets/d/11923uPwbBZFjjGgGUA6NLw09EwE0CqkOc4q9oUmW1yo/edit?usp=sharing"",""เชียงใหม่!I474"")"),0)</f>
        <v>0</v>
      </c>
      <c r="J579" s="197">
        <f ca="1">IFERROR(__xludf.DUMMYFUNCTION("IMPORTRANGE(""https://docs.google.com/spreadsheets/d/11923uPwbBZFjjGgGUA6NLw09EwE0CqkOc4q9oUmW1yo/edit?usp=sharing"",""เชียงใหม่!J474"")"),29)</f>
        <v>29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IFERROR(__xludf.DUMMYFUNCTION("IMPORTRANGE(""https://docs.google.com/spreadsheets/d/11923uPwbBZFjjGgGUA6NLw09EwE0CqkOc4q9oUmW1yo/edit?usp=sharing"",""เชียงใหม่!I475"")"),30)</f>
        <v>30</v>
      </c>
      <c r="J580" s="370">
        <f ca="1">IFERROR(__xludf.DUMMYFUNCTION("IMPORTRANGE(""https://docs.google.com/spreadsheets/d/11923uPwbBZFjjGgGUA6NLw09EwE0CqkOc4q9oUmW1yo/edit?usp=sharing"",""เชียงใหม่!J475"")"),0)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IFERROR(__xludf.DUMMYFUNCTION("IMPORTRANGE(""https://docs.google.com/spreadsheets/d/11923uPwbBZFjjGgGUA6NLw09EwE0CqkOc4q9oUmW1yo/edit?usp=sharing"",""เชียงใหม่!L475"")"),153230)</f>
        <v>153230</v>
      </c>
      <c r="M580" s="372"/>
      <c r="N580" s="372">
        <f ca="1">IFERROR(__xludf.DUMMYFUNCTION("IMPORTRANGE(""https://docs.google.com/spreadsheets/d/11923uPwbBZFjjGgGUA6NLw09EwE0CqkOc4q9oUmW1yo/edit?usp=sharing"",""เชียงใหม่!M475"")"),10920)</f>
        <v>10920</v>
      </c>
      <c r="O580" s="372">
        <f t="shared" ref="O580:O584" ca="1" si="124">+IF(L580&gt;0,N580*100/L580,0)</f>
        <v>7.126541799908634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IFERROR(__xludf.DUMMYFUNCTION("IMPORTRANGE(""https://docs.google.com/spreadsheets/d/11923uPwbBZFjjGgGUA6NLw09EwE0CqkOc4q9oUmW1yo/edit?usp=sharing"",""เชียงใหม่!L476"")"),0)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IFERROR(__xludf.DUMMYFUNCTION("IMPORTRANGE(""https://docs.google.com/spreadsheets/d/11923uPwbBZFjjGgGUA6NLw09EwE0CqkOc4q9oUmW1yo/edit?usp=sharing"",""เชียงใหม่!M476"")"),0)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IFERROR(__xludf.DUMMYFUNCTION("IMPORTRANGE(""https://docs.google.com/spreadsheets/d/11923uPwbBZFjjGgGUA6NLw09EwE0CqkOc4q9oUmW1yo/edit?usp=sharing"",""เชียงใหม่!L477"")"),153230)</f>
        <v>153230</v>
      </c>
      <c r="M582" s="165"/>
      <c r="N582" s="168">
        <f ca="1">IFERROR(__xludf.DUMMYFUNCTION("IMPORTRANGE(""https://docs.google.com/spreadsheets/d/11923uPwbBZFjjGgGUA6NLw09EwE0CqkOc4q9oUmW1yo/edit?usp=sharing"",""เชียงใหม่!M477"")"),10920)</f>
        <v>10920</v>
      </c>
      <c r="O582" s="168">
        <f t="shared" ca="1" si="124"/>
        <v>7.126541799908634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IFERROR(__xludf.DUMMYFUNCTION("IMPORTRANGE(""https://docs.google.com/spreadsheets/d/11923uPwbBZFjjGgGUA6NLw09EwE0CqkOc4q9oUmW1yo/edit?usp=sharing"",""เชียงใหม่!L478"")"),0)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IFERROR(__xludf.DUMMYFUNCTION("IMPORTRANGE(""https://docs.google.com/spreadsheets/d/11923uPwbBZFjjGgGUA6NLw09EwE0CqkOc4q9oUmW1yo/edit?usp=sharing"",""เชียงใหม่!M478"")"),0)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IFERROR(__xludf.DUMMYFUNCTION("IMPORTRANGE(""https://docs.google.com/spreadsheets/d/11923uPwbBZFjjGgGUA6NLw09EwE0CqkOc4q9oUmW1yo/edit?usp=sharing"",""เชียงใหม่!L479"")"),153230)</f>
        <v>153230</v>
      </c>
      <c r="M584" s="168"/>
      <c r="N584" s="168">
        <f ca="1">IFERROR(__xludf.DUMMYFUNCTION("IMPORTRANGE(""https://docs.google.com/spreadsheets/d/11923uPwbBZFjjGgGUA6NLw09EwE0CqkOc4q9oUmW1yo/edit?usp=sharing"",""เชียงใหม่!M479"")"),10920)</f>
        <v>10920</v>
      </c>
      <c r="O584" s="168">
        <f t="shared" ca="1" si="124"/>
        <v>7.126541799908634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IFERROR(__xludf.DUMMYFUNCTION("IMPORTRANGE(""https://docs.google.com/spreadsheets/d/11923uPwbBZFjjGgGUA6NLw09EwE0CqkOc4q9oUmW1yo/edit?usp=sharing"",""เชียงใหม่!M480"")"),0)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IFERROR(__xludf.DUMMYFUNCTION("IMPORTRANGE(""https://docs.google.com/spreadsheets/d/11923uPwbBZFjjGgGUA6NLw09EwE0CqkOc4q9oUmW1yo/edit?usp=sharing"",""เชียงใหม่!M481"")"),0)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IFERROR(__xludf.DUMMYFUNCTION("IMPORTRANGE(""https://docs.google.com/spreadsheets/d/11923uPwbBZFjjGgGUA6NLw09EwE0CqkOc4q9oUmW1yo/edit?usp=sharing"",""เชียงใหม่!M482"")"),0)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IFERROR(__xludf.DUMMYFUNCTION("IMPORTRANGE(""https://docs.google.com/spreadsheets/d/11923uPwbBZFjjGgGUA6NLw09EwE0CqkOc4q9oUmW1yo/edit?usp=sharing"",""เชียงใหม่!M483"")"),10920)</f>
        <v>10920</v>
      </c>
      <c r="O588" s="168"/>
      <c r="P588" s="168"/>
    </row>
    <row r="589" spans="1:16" ht="21.75" customHeight="1" x14ac:dyDescent="0.3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IFERROR(__xludf.DUMMYFUNCTION("IMPORTRANGE(""https://docs.google.com/spreadsheets/d/11923uPwbBZFjjGgGUA6NLw09EwE0CqkOc4q9oUmW1yo/edit?usp=sharing"",""เชียงใหม่!I484"")"),30)</f>
        <v>30</v>
      </c>
      <c r="J589" s="187">
        <f ca="1">IFERROR(__xludf.DUMMYFUNCTION("IMPORTRANGE(""https://docs.google.com/spreadsheets/d/11923uPwbBZFjjGgGUA6NLw09EwE0CqkOc4q9oUmW1yo/edit?usp=sharing"",""เชียงใหม่!J484"")"),32)</f>
        <v>32</v>
      </c>
      <c r="K589" s="163">
        <f t="shared" ref="K589:K596" ca="1" si="125">IF(I589&gt;0,J589*100/I589,0)</f>
        <v>106.66666666666667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IFERROR(__xludf.DUMMYFUNCTION("IMPORTRANGE(""https://docs.google.com/spreadsheets/d/11923uPwbBZFjjGgGUA6NLw09EwE0CqkOc4q9oUmW1yo/edit?usp=sharing"",""เชียงใหม่!I485"")"),0)</f>
        <v>0</v>
      </c>
      <c r="J590" s="187">
        <f ca="1">IFERROR(__xludf.DUMMYFUNCTION("IMPORTRANGE(""https://docs.google.com/spreadsheets/d/11923uPwbBZFjjGgGUA6NLw09EwE0CqkOc4q9oUmW1yo/edit?usp=sharing"",""เชียงใหม่!J485"")"),13.38)</f>
        <v>13.38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IFERROR(__xludf.DUMMYFUNCTION("IMPORTRANGE(""https://docs.google.com/spreadsheets/d/11923uPwbBZFjjGgGUA6NLw09EwE0CqkOc4q9oUmW1yo/edit?usp=sharing"",""เชียงใหม่!I486"")"),30)</f>
        <v>30</v>
      </c>
      <c r="J591" s="187">
        <f ca="1">IFERROR(__xludf.DUMMYFUNCTION("IMPORTRANGE(""https://docs.google.com/spreadsheets/d/11923uPwbBZFjjGgGUA6NLw09EwE0CqkOc4q9oUmW1yo/edit?usp=sharing"",""เชียงใหม่!J486"")"),14)</f>
        <v>14</v>
      </c>
      <c r="K591" s="163">
        <f t="shared" ca="1" si="125"/>
        <v>46.666666666666664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IFERROR(__xludf.DUMMYFUNCTION("IMPORTRANGE(""https://docs.google.com/spreadsheets/d/11923uPwbBZFjjGgGUA6NLw09EwE0CqkOc4q9oUmW1yo/edit?usp=sharing"",""เชียงใหม่!I487"")"),0)</f>
        <v>0</v>
      </c>
      <c r="J592" s="187">
        <f ca="1">IFERROR(__xludf.DUMMYFUNCTION("IMPORTRANGE(""https://docs.google.com/spreadsheets/d/11923uPwbBZFjjGgGUA6NLw09EwE0CqkOc4q9oUmW1yo/edit?usp=sharing"",""เชียงใหม่!J487"")"),4.83)</f>
        <v>4.83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IFERROR(__xludf.DUMMYFUNCTION("IMPORTRANGE(""https://docs.google.com/spreadsheets/d/11923uPwbBZFjjGgGUA6NLw09EwE0CqkOc4q9oUmW1yo/edit?usp=sharing"",""เชียงใหม่!I488"")"),30)</f>
        <v>30</v>
      </c>
      <c r="J593" s="187">
        <f ca="1">IFERROR(__xludf.DUMMYFUNCTION("IMPORTRANGE(""https://docs.google.com/spreadsheets/d/11923uPwbBZFjjGgGUA6NLw09EwE0CqkOc4q9oUmW1yo/edit?usp=sharing"",""เชียงใหม่!J488"")"),0)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IFERROR(__xludf.DUMMYFUNCTION("IMPORTRANGE(""https://docs.google.com/spreadsheets/d/11923uPwbBZFjjGgGUA6NLw09EwE0CqkOc4q9oUmW1yo/edit?usp=sharing"",""เชียงใหม่!I489"")"),0)</f>
        <v>0</v>
      </c>
      <c r="J594" s="187">
        <f ca="1">IFERROR(__xludf.DUMMYFUNCTION("IMPORTRANGE(""https://docs.google.com/spreadsheets/d/11923uPwbBZFjjGgGUA6NLw09EwE0CqkOc4q9oUmW1yo/edit?usp=sharing"",""เชียงใหม่!J489"")"),0)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IFERROR(__xludf.DUMMYFUNCTION("IMPORTRANGE(""https://docs.google.com/spreadsheets/d/11923uPwbBZFjjGgGUA6NLw09EwE0CqkOc4q9oUmW1yo/edit?usp=sharing"",""เชียงใหม่!I490"")"),30)</f>
        <v>30</v>
      </c>
      <c r="J595" s="187">
        <f ca="1">IFERROR(__xludf.DUMMYFUNCTION("IMPORTRANGE(""https://docs.google.com/spreadsheets/d/11923uPwbBZFjjGgGUA6NLw09EwE0CqkOc4q9oUmW1yo/edit?usp=sharing"",""เชียงใหม่!J490"")"),0)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IFERROR(__xludf.DUMMYFUNCTION("IMPORTRANGE(""https://docs.google.com/spreadsheets/d/11923uPwbBZFjjGgGUA6NLw09EwE0CqkOc4q9oUmW1yo/edit?usp=sharing"",""เชียงใหม่!I491"")"),0)</f>
        <v>0</v>
      </c>
      <c r="J596" s="241">
        <f ca="1">IFERROR(__xludf.DUMMYFUNCTION("IMPORTRANGE(""https://docs.google.com/spreadsheets/d/11923uPwbBZFjjGgGUA6NLw09EwE0CqkOc4q9oUmW1yo/edit?usp=sharing"",""เชียงใหม่!J491"")"),0)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IFERROR(__xludf.DUMMYFUNCTION("IMPORTRANGE(""https://docs.google.com/spreadsheets/d/11923uPwbBZFjjGgGUA6NLw09EwE0CqkOc4q9oUmW1yo/edit?usp=sharing"",""เชียงใหม่!I492"")"),100)</f>
        <v>100</v>
      </c>
      <c r="J597" s="487">
        <f ca="1">IFERROR(__xludf.DUMMYFUNCTION("IMPORTRANGE(""https://docs.google.com/spreadsheets/d/11923uPwbBZFjjGgGUA6NLw09EwE0CqkOc4q9oUmW1yo/edit?usp=sharing"",""เชียงใหม่!J492"")"),0)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IFERROR(__xludf.DUMMYFUNCTION("IMPORTRANGE(""https://docs.google.com/spreadsheets/d/11923uPwbBZFjjGgGUA6NLw09EwE0CqkOc4q9oUmW1yo/edit?usp=sharing"",""เชียงใหม่!L492"")"),10900)</f>
        <v>10900</v>
      </c>
      <c r="M597" s="411"/>
      <c r="N597" s="411">
        <f ca="1">IFERROR(__xludf.DUMMYFUNCTION("IMPORTRANGE(""https://docs.google.com/spreadsheets/d/11923uPwbBZFjjGgGUA6NLw09EwE0CqkOc4q9oUmW1yo/edit?usp=sharing"",""เชียงใหม่!M492"")"),6080)</f>
        <v>6080</v>
      </c>
      <c r="O597" s="411">
        <f t="shared" ref="O597:O601" ca="1" si="126">+IF(L597&gt;0,N597*100/L597,0)</f>
        <v>55.779816513761467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IFERROR(__xludf.DUMMYFUNCTION("IMPORTRANGE(""https://docs.google.com/spreadsheets/d/11923uPwbBZFjjGgGUA6NLw09EwE0CqkOc4q9oUmW1yo/edit?usp=sharing"",""เชียงใหม่!L493"")"),0)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IFERROR(__xludf.DUMMYFUNCTION("IMPORTRANGE(""https://docs.google.com/spreadsheets/d/11923uPwbBZFjjGgGUA6NLw09EwE0CqkOc4q9oUmW1yo/edit?usp=sharing"",""เชียงใหม่!M493"")"),0)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IFERROR(__xludf.DUMMYFUNCTION("IMPORTRANGE(""https://docs.google.com/spreadsheets/d/11923uPwbBZFjjGgGUA6NLw09EwE0CqkOc4q9oUmW1yo/edit?usp=sharing"",""เชียงใหม่!L494"")"),10900)</f>
        <v>10900</v>
      </c>
      <c r="M599" s="165"/>
      <c r="N599" s="168">
        <f ca="1">IFERROR(__xludf.DUMMYFUNCTION("IMPORTRANGE(""https://docs.google.com/spreadsheets/d/11923uPwbBZFjjGgGUA6NLw09EwE0CqkOc4q9oUmW1yo/edit?usp=sharing"",""เชียงใหม่!M494"")"),6080)</f>
        <v>6080</v>
      </c>
      <c r="O599" s="168">
        <f t="shared" ca="1" si="126"/>
        <v>55.779816513761467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IFERROR(__xludf.DUMMYFUNCTION("IMPORTRANGE(""https://docs.google.com/spreadsheets/d/11923uPwbBZFjjGgGUA6NLw09EwE0CqkOc4q9oUmW1yo/edit?usp=sharing"",""เชียงใหม่!L495"")"),0)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IFERROR(__xludf.DUMMYFUNCTION("IMPORTRANGE(""https://docs.google.com/spreadsheets/d/11923uPwbBZFjjGgGUA6NLw09EwE0CqkOc4q9oUmW1yo/edit?usp=sharing"",""เชียงใหม่!M495"")"),0)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IFERROR(__xludf.DUMMYFUNCTION("IMPORTRANGE(""https://docs.google.com/spreadsheets/d/11923uPwbBZFjjGgGUA6NLw09EwE0CqkOc4q9oUmW1yo/edit?usp=sharing"",""เชียงใหม่!L496"")"),10900)</f>
        <v>10900</v>
      </c>
      <c r="M601" s="168"/>
      <c r="N601" s="168">
        <f ca="1">IFERROR(__xludf.DUMMYFUNCTION("IMPORTRANGE(""https://docs.google.com/spreadsheets/d/11923uPwbBZFjjGgGUA6NLw09EwE0CqkOc4q9oUmW1yo/edit?usp=sharing"",""เชียงใหม่!M496"")"),6080)</f>
        <v>6080</v>
      </c>
      <c r="O601" s="168">
        <f t="shared" ca="1" si="126"/>
        <v>55.779816513761467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IFERROR(__xludf.DUMMYFUNCTION("IMPORTRANGE(""https://docs.google.com/spreadsheets/d/11923uPwbBZFjjGgGUA6NLw09EwE0CqkOc4q9oUmW1yo/edit?usp=sharing"",""เชียงใหม่!M497"")"),0)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IFERROR(__xludf.DUMMYFUNCTION("IMPORTRANGE(""https://docs.google.com/spreadsheets/d/11923uPwbBZFjjGgGUA6NLw09EwE0CqkOc4q9oUmW1yo/edit?usp=sharing"",""เชียงใหม่!M498"")"),0)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IFERROR(__xludf.DUMMYFUNCTION("IMPORTRANGE(""https://docs.google.com/spreadsheets/d/11923uPwbBZFjjGgGUA6NLw09EwE0CqkOc4q9oUmW1yo/edit?usp=sharing"",""เชียงใหม่!M499"")"),0)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IFERROR(__xludf.DUMMYFUNCTION("IMPORTRANGE(""https://docs.google.com/spreadsheets/d/11923uPwbBZFjjGgGUA6NLw09EwE0CqkOc4q9oUmW1yo/edit?usp=sharing"",""เชียงใหม่!M500"")"),6080)</f>
        <v>6080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IFERROR(__xludf.DUMMYFUNCTION("IMPORTRANGE(""https://docs.google.com/spreadsheets/d/11923uPwbBZFjjGgGUA6NLw09EwE0CqkOc4q9oUmW1yo/edit?usp=sharing"",""เชียงใหม่!J502"")"),0)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IFERROR(__xludf.DUMMYFUNCTION("IMPORTRANGE(""https://docs.google.com/spreadsheets/d/11923uPwbBZFjjGgGUA6NLw09EwE0CqkOc4q9oUmW1yo/edit?usp=sharing"",""เชียงใหม่!J503"")"),1)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IFERROR(__xludf.DUMMYFUNCTION("IMPORTRANGE(""https://docs.google.com/spreadsheets/d/11923uPwbBZFjjGgGUA6NLw09EwE0CqkOc4q9oUmW1yo/edit?usp=sharing"",""เชียงใหม่!J166"")"),0)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IFERROR(__xludf.DUMMYFUNCTION("IMPORTRANGE(""https://docs.google.com/spreadsheets/d/11923uPwbBZFjjGgGUA6NLw09EwE0CqkOc4q9oUmW1yo/edit?usp=sharing"",""เชียงใหม่!J166"")"),0)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IFERROR(__xludf.DUMMYFUNCTION("IMPORTRANGE(""https://docs.google.com/spreadsheets/d/11923uPwbBZFjjGgGUA6NLw09EwE0CqkOc4q9oUmW1yo/edit?usp=sharing"",""เชียงใหม่!I506"")"),100)</f>
        <v>100</v>
      </c>
      <c r="J611" s="162">
        <f ca="1">IFERROR(__xludf.DUMMYFUNCTION("IMPORTRANGE(""https://docs.google.com/spreadsheets/d/11923uPwbBZFjjGgGUA6NLw09EwE0CqkOc4q9oUmW1yo/edit?usp=sharing"",""เชียงใหม่!J506"")"),0)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IFERROR(__xludf.DUMMYFUNCTION("IMPORTRANGE(""https://docs.google.com/spreadsheets/d/11923uPwbBZFjjGgGUA6NLw09EwE0CqkOc4q9oUmW1yo/edit?usp=sharing"",""เชียงใหม่!I507"")"),0)</f>
        <v>0</v>
      </c>
      <c r="J612" s="197">
        <f ca="1">IFERROR(__xludf.DUMMYFUNCTION("IMPORTRANGE(""https://docs.google.com/spreadsheets/d/11923uPwbBZFjjGgGUA6NLw09EwE0CqkOc4q9oUmW1yo/edit?usp=sharing"",""เชียงใหม่!J507"")"),110.75)</f>
        <v>110.75</v>
      </c>
      <c r="K612" s="163">
        <f t="shared" ca="1" si="127"/>
        <v>110.75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IFERROR(__xludf.DUMMYFUNCTION("IMPORTRANGE(""https://docs.google.com/spreadsheets/d/11923uPwbBZFjjGgGUA6NLw09EwE0CqkOc4q9oUmW1yo/edit?usp=sharing"",""เชียงใหม่!I508"")"),0)</f>
        <v>0</v>
      </c>
      <c r="J613" s="197">
        <f ca="1">IFERROR(__xludf.DUMMYFUNCTION("IMPORTRANGE(""https://docs.google.com/spreadsheets/d/11923uPwbBZFjjGgGUA6NLw09EwE0CqkOc4q9oUmW1yo/edit?usp=sharing"",""เชียงใหม่!J508"")"),110.75)</f>
        <v>110.75</v>
      </c>
      <c r="K613" s="163">
        <f t="shared" ca="1" si="127"/>
        <v>110.75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IFERROR(__xludf.DUMMYFUNCTION("IMPORTRANGE(""https://docs.google.com/spreadsheets/d/11923uPwbBZFjjGgGUA6NLw09EwE0CqkOc4q9oUmW1yo/edit?usp=sharing"",""เชียงใหม่!I509"")"),0)</f>
        <v>0</v>
      </c>
      <c r="J614" s="197">
        <f ca="1">IFERROR(__xludf.DUMMYFUNCTION("IMPORTRANGE(""https://docs.google.com/spreadsheets/d/11923uPwbBZFjjGgGUA6NLw09EwE0CqkOc4q9oUmW1yo/edit?usp=sharing"",""เชียงใหม่!J509"")"),110.75)</f>
        <v>110.75</v>
      </c>
      <c r="K614" s="163">
        <f t="shared" ca="1" si="127"/>
        <v>110.75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IFERROR(__xludf.DUMMYFUNCTION("IMPORTRANGE(""https://docs.google.com/spreadsheets/d/11923uPwbBZFjjGgGUA6NLw09EwE0CqkOc4q9oUmW1yo/edit?usp=sharing"",""เชียงใหม่!I510"")"),0)</f>
        <v>0</v>
      </c>
      <c r="J615" s="197">
        <f ca="1">IFERROR(__xludf.DUMMYFUNCTION("IMPORTRANGE(""https://docs.google.com/spreadsheets/d/11923uPwbBZFjjGgGUA6NLw09EwE0CqkOc4q9oUmW1yo/edit?usp=sharing"",""เชียงใหม่!J510"")"),110.75)</f>
        <v>110.75</v>
      </c>
      <c r="K615" s="163">
        <f t="shared" ca="1" si="127"/>
        <v>110.75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IFERROR(__xludf.DUMMYFUNCTION("IMPORTRANGE(""https://docs.google.com/spreadsheets/d/11923uPwbBZFjjGgGUA6NLw09EwE0CqkOc4q9oUmW1yo/edit?usp=sharing"",""เชียงใหม่!I511"")"),0)</f>
        <v>0</v>
      </c>
      <c r="J616" s="197">
        <f ca="1">IFERROR(__xludf.DUMMYFUNCTION("IMPORTRANGE(""https://docs.google.com/spreadsheets/d/11923uPwbBZFjjGgGUA6NLw09EwE0CqkOc4q9oUmW1yo/edit?usp=sharing"",""เชียงใหม่!J511"")"),0)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IFERROR(__xludf.DUMMYFUNCTION("IMPORTRANGE(""https://docs.google.com/spreadsheets/d/11923uPwbBZFjjGgGUA6NLw09EwE0CqkOc4q9oUmW1yo/edit?usp=sharing"",""เชียงใหม่!I512"")"),0)</f>
        <v>0</v>
      </c>
      <c r="J617" s="187">
        <f ca="1">IFERROR(__xludf.DUMMYFUNCTION("IMPORTRANGE(""https://docs.google.com/spreadsheets/d/11923uPwbBZFjjGgGUA6NLw09EwE0CqkOc4q9oUmW1yo/edit?usp=sharing"",""เชียงใหม่!J512"")"),0)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IFERROR(__xludf.DUMMYFUNCTION("IMPORTRANGE(""https://docs.google.com/spreadsheets/d/11923uPwbBZFjjGgGUA6NLw09EwE0CqkOc4q9oUmW1yo/edit?usp=sharing"",""เชียงใหม่!I513"")"),0)</f>
        <v>0</v>
      </c>
      <c r="J618" s="188">
        <f ca="1">IFERROR(__xludf.DUMMYFUNCTION("IMPORTRANGE(""https://docs.google.com/spreadsheets/d/11923uPwbBZFjjGgGUA6NLw09EwE0CqkOc4q9oUmW1yo/edit?usp=sharing"",""เชียงใหม่!J513"")"),0)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IFERROR(__xludf.DUMMYFUNCTION("IMPORTRANGE(""https://docs.google.com/spreadsheets/d/11923uPwbBZFjjGgGUA6NLw09EwE0CqkOc4q9oUmW1yo/edit?usp=sharing"",""เชียงใหม่!I514"")"),0)</f>
        <v>0</v>
      </c>
      <c r="J619" s="188">
        <f ca="1">IFERROR(__xludf.DUMMYFUNCTION("IMPORTRANGE(""https://docs.google.com/spreadsheets/d/11923uPwbBZFjjGgGUA6NLw09EwE0CqkOc4q9oUmW1yo/edit?usp=sharing"",""เชียงใหม่!J514"")"),0)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IFERROR(__xludf.DUMMYFUNCTION("IMPORTRANGE(""https://docs.google.com/spreadsheets/d/11923uPwbBZFjjGgGUA6NLw09EwE0CqkOc4q9oUmW1yo/edit?usp=sharing"",""เชียงใหม่!I515"")"),100)</f>
        <v>100</v>
      </c>
      <c r="J620" s="202">
        <f ca="1">IFERROR(__xludf.DUMMYFUNCTION("IMPORTRANGE(""https://docs.google.com/spreadsheets/d/11923uPwbBZFjjGgGUA6NLw09EwE0CqkOc4q9oUmW1yo/edit?usp=sharing"",""เชียงใหม่!J515"")"),0)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IFERROR(__xludf.DUMMYFUNCTION("IMPORTRANGE(""https://docs.google.com/spreadsheets/d/11923uPwbBZFjjGgGUA6NLw09EwE0CqkOc4q9oUmW1yo/edit?usp=sharing"",""เชียงใหม่!I516"")"),0)</f>
        <v>0</v>
      </c>
      <c r="J621" s="202">
        <f ca="1">IFERROR(__xludf.DUMMYFUNCTION("IMPORTRANGE(""https://docs.google.com/spreadsheets/d/11923uPwbBZFjjGgGUA6NLw09EwE0CqkOc4q9oUmW1yo/edit?usp=sharing"",""เชียงใหม่!J516"")"),0)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IFERROR(__xludf.DUMMYFUNCTION("IMPORTRANGE(""https://docs.google.com/spreadsheets/d/11923uPwbBZFjjGgGUA6NLw09EwE0CqkOc4q9oUmW1yo/edit?usp=sharing"",""เชียงใหม่!I517"")"),0)</f>
        <v>0</v>
      </c>
      <c r="J622" s="188">
        <f ca="1">IFERROR(__xludf.DUMMYFUNCTION("IMPORTRANGE(""https://docs.google.com/spreadsheets/d/11923uPwbBZFjjGgGUA6NLw09EwE0CqkOc4q9oUmW1yo/edit?usp=sharing"",""เชียงใหม่!J517"")"),0)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IFERROR(__xludf.DUMMYFUNCTION("IMPORTRANGE(""https://docs.google.com/spreadsheets/d/11923uPwbBZFjjGgGUA6NLw09EwE0CqkOc4q9oUmW1yo/edit?usp=sharing"",""เชียงใหม่!I518"")"),0)</f>
        <v>0</v>
      </c>
      <c r="J623" s="188">
        <f ca="1">IFERROR(__xludf.DUMMYFUNCTION("IMPORTRANGE(""https://docs.google.com/spreadsheets/d/11923uPwbBZFjjGgGUA6NLw09EwE0CqkOc4q9oUmW1yo/edit?usp=sharing"",""เชียงใหม่!J518"")"),0)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IFERROR(__xludf.DUMMYFUNCTION("IMPORTRANGE(""https://docs.google.com/spreadsheets/d/11923uPwbBZFjjGgGUA6NLw09EwE0CqkOc4q9oUmW1yo/edit?usp=sharing"",""เชียงใหม่!I519"")"),0)</f>
        <v>0</v>
      </c>
      <c r="J624" s="187">
        <f ca="1">IFERROR(__xludf.DUMMYFUNCTION("IMPORTRANGE(""https://docs.google.com/spreadsheets/d/11923uPwbBZFjjGgGUA6NLw09EwE0CqkOc4q9oUmW1yo/edit?usp=sharing"",""เชียงใหม่!J519"")"),0)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IFERROR(__xludf.DUMMYFUNCTION("IMPORTRANGE(""https://docs.google.com/spreadsheets/d/11923uPwbBZFjjGgGUA6NLw09EwE0CqkOc4q9oUmW1yo/edit?usp=sharing"",""เชียงใหม่!I520"")"),0)</f>
        <v>0</v>
      </c>
      <c r="J625" s="188">
        <f ca="1">IFERROR(__xludf.DUMMYFUNCTION("IMPORTRANGE(""https://docs.google.com/spreadsheets/d/11923uPwbBZFjjGgGUA6NLw09EwE0CqkOc4q9oUmW1yo/edit?usp=sharing"",""เชียงใหม่!J520"")"),0)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IFERROR(__xludf.DUMMYFUNCTION("IMPORTRANGE(""https://docs.google.com/spreadsheets/d/11923uPwbBZFjjGgGUA6NLw09EwE0CqkOc4q9oUmW1yo/edit?usp=sharing"",""เชียงใหม่!I521"")"),0)</f>
        <v>0</v>
      </c>
      <c r="J626" s="188">
        <f ca="1">IFERROR(__xludf.DUMMYFUNCTION("IMPORTRANGE(""https://docs.google.com/spreadsheets/d/11923uPwbBZFjjGgGUA6NLw09EwE0CqkOc4q9oUmW1yo/edit?usp=sharing"",""เชียงใหม่!J521"")"),100)</f>
        <v>100</v>
      </c>
      <c r="K626" s="163">
        <f t="shared" ca="1" si="128"/>
        <v>100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IFERROR(__xludf.DUMMYFUNCTION("IMPORTRANGE(""https://docs.google.com/spreadsheets/d/11923uPwbBZFjjGgGUA6NLw09EwE0CqkOc4q9oUmW1yo/edit?usp=sharing"",""เชียงใหม่!I523"")"),2766411.24)</f>
        <v>2766411.24</v>
      </c>
      <c r="J628" s="341">
        <f ca="1">IFERROR(__xludf.DUMMYFUNCTION("IMPORTRANGE(""https://docs.google.com/spreadsheets/d/11923uPwbBZFjjGgGUA6NLw09EwE0CqkOc4q9oUmW1yo/edit?usp=sharing"",""เชียงใหม่!J523"")"),2098022.84)</f>
        <v>2098022.84</v>
      </c>
      <c r="K628" s="342">
        <f t="shared" ref="K628:K635" ca="1" si="129">IF(I628&gt;0,J628*100/I628,0)</f>
        <v>75.839152533229296</v>
      </c>
      <c r="L628" s="342"/>
      <c r="M628" s="342"/>
      <c r="N628" s="342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IFERROR(__xludf.DUMMYFUNCTION("IMPORTRANGE(""https://docs.google.com/spreadsheets/d/11923uPwbBZFjjGgGUA6NLw09EwE0CqkOc4q9oUmW1yo/edit?usp=sharing"",""เชียงใหม่!I524"")"),159)</f>
        <v>159</v>
      </c>
      <c r="J629" s="341">
        <f ca="1">IFERROR(__xludf.DUMMYFUNCTION("IMPORTRANGE(""https://docs.google.com/spreadsheets/d/11923uPwbBZFjjGgGUA6NLw09EwE0CqkOc4q9oUmW1yo/edit?usp=sharing"",""เชียงใหม่!J524"")"),103)</f>
        <v>103</v>
      </c>
      <c r="K629" s="342">
        <f t="shared" ca="1" si="129"/>
        <v>64.779874213836479</v>
      </c>
      <c r="L629" s="342"/>
      <c r="M629" s="342"/>
      <c r="N629" s="342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IFERROR(__xludf.DUMMYFUNCTION("IMPORTRANGE(""https://docs.google.com/spreadsheets/d/11923uPwbBZFjjGgGUA6NLw09EwE0CqkOc4q9oUmW1yo/edit?usp=sharing"",""เชียงใหม่!I525"")"),636812.17)</f>
        <v>636812.17000000004</v>
      </c>
      <c r="J630" s="341">
        <f ca="1">IFERROR(__xludf.DUMMYFUNCTION("IMPORTRANGE(""https://docs.google.com/spreadsheets/d/11923uPwbBZFjjGgGUA6NLw09EwE0CqkOc4q9oUmW1yo/edit?usp=sharing"",""เชียงใหม่!J525"")"),63984.48)</f>
        <v>63984.480000000003</v>
      </c>
      <c r="K630" s="342">
        <f t="shared" ca="1" si="129"/>
        <v>10.04762204842913</v>
      </c>
      <c r="L630" s="342"/>
      <c r="M630" s="342"/>
      <c r="N630" s="342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IFERROR(__xludf.DUMMYFUNCTION("IMPORTRANGE(""https://docs.google.com/spreadsheets/d/11923uPwbBZFjjGgGUA6NLw09EwE0CqkOc4q9oUmW1yo/edit?usp=sharing"",""เชียงใหม่!I526"")"),41)</f>
        <v>41</v>
      </c>
      <c r="J631" s="341">
        <f ca="1">IFERROR(__xludf.DUMMYFUNCTION("IMPORTRANGE(""https://docs.google.com/spreadsheets/d/11923uPwbBZFjjGgGUA6NLw09EwE0CqkOc4q9oUmW1yo/edit?usp=sharing"",""เชียงใหม่!J526"")"),26)</f>
        <v>26</v>
      </c>
      <c r="K631" s="342">
        <f t="shared" ca="1" si="129"/>
        <v>63.414634146341463</v>
      </c>
      <c r="L631" s="342"/>
      <c r="M631" s="342"/>
      <c r="N631" s="342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IFERROR(__xludf.DUMMYFUNCTION("IMPORTRANGE(""https://docs.google.com/spreadsheets/d/11923uPwbBZFjjGgGUA6NLw09EwE0CqkOc4q9oUmW1yo/edit?usp=sharing"",""เชียงใหม่!I527"")"),100859.88)</f>
        <v>100859.88</v>
      </c>
      <c r="J632" s="341">
        <f ca="1">IFERROR(__xludf.DUMMYFUNCTION("IMPORTRANGE(""https://docs.google.com/spreadsheets/d/11923uPwbBZFjjGgGUA6NLw09EwE0CqkOc4q9oUmW1yo/edit?usp=sharing"",""เชียงใหม่!J527"")"),26826.25)</f>
        <v>26826.25</v>
      </c>
      <c r="K632" s="342">
        <f t="shared" ca="1" si="129"/>
        <v>26.597543046848756</v>
      </c>
      <c r="L632" s="342"/>
      <c r="M632" s="342"/>
      <c r="N632" s="342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IFERROR(__xludf.DUMMYFUNCTION("IMPORTRANGE(""https://docs.google.com/spreadsheets/d/11923uPwbBZFjjGgGUA6NLw09EwE0CqkOc4q9oUmW1yo/edit?usp=sharing"",""เชียงใหม่!I528"")"),23)</f>
        <v>23</v>
      </c>
      <c r="J633" s="341">
        <f ca="1">IFERROR(__xludf.DUMMYFUNCTION("IMPORTRANGE(""https://docs.google.com/spreadsheets/d/11923uPwbBZFjjGgGUA6NLw09EwE0CqkOc4q9oUmW1yo/edit?usp=sharing"",""เชียงใหม่!J528"")"),16)</f>
        <v>16</v>
      </c>
      <c r="K633" s="342">
        <f t="shared" ca="1" si="129"/>
        <v>69.565217391304344</v>
      </c>
      <c r="L633" s="342"/>
      <c r="M633" s="342"/>
      <c r="N633" s="342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IFERROR(__xludf.DUMMYFUNCTION("IMPORTRANGE(""https://docs.google.com/spreadsheets/d/11923uPwbBZFjjGgGUA6NLw09EwE0CqkOc4q9oUmW1yo/edit?usp=sharing"",""เชียงใหม่!I529"")"),1890000)</f>
        <v>1890000</v>
      </c>
      <c r="J634" s="341">
        <f ca="1">IFERROR(__xludf.DUMMYFUNCTION("IMPORTRANGE(""https://docs.google.com/spreadsheets/d/11923uPwbBZFjjGgGUA6NLw09EwE0CqkOc4q9oUmW1yo/edit?usp=sharing"",""เชียงใหม่!J529"")"),1890000)</f>
        <v>1890000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IFERROR(__xludf.DUMMYFUNCTION("IMPORTRANGE(""https://docs.google.com/spreadsheets/d/11923uPwbBZFjjGgGUA6NLw09EwE0CqkOc4q9oUmW1yo/edit?usp=sharing"",""เชียงใหม่!I530"")"),63)</f>
        <v>63</v>
      </c>
      <c r="J635" s="504">
        <f ca="1">IFERROR(__xludf.DUMMYFUNCTION("IMPORTRANGE(""https://docs.google.com/spreadsheets/d/11923uPwbBZFjjGgGUA6NLw09EwE0CqkOc4q9oUmW1yo/edit?usp=sharing"",""เชียงใหม่!J530"")"),69)</f>
        <v>69</v>
      </c>
      <c r="K635" s="486">
        <f t="shared" ca="1" si="129"/>
        <v>109.52380952380952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5525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5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5525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5525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5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IFERROR(__xludf.DUMMYFUNCTION("IMPORTRANGE(""https://docs.google.com/spreadsheets/d/11923uPwbBZFjjGgGUA6NLw09EwE0CqkOc4q9oUmW1yo/edit?usp=sharing"",""เชียงใหม่!J541"")"),1)</f>
        <v>1</v>
      </c>
      <c r="K646" s="518"/>
      <c r="L646" s="528"/>
      <c r="M646" s="520"/>
      <c r="N646" s="532"/>
      <c r="O646" s="518"/>
      <c r="P646" s="518"/>
    </row>
    <row r="647" spans="1:16" ht="21.75" customHeight="1" x14ac:dyDescent="0.45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IFERROR(__xludf.DUMMYFUNCTION("IMPORTRANGE(""https://docs.google.com/spreadsheets/d/11923uPwbBZFjjGgGUA6NLw09EwE0CqkOc4q9oUmW1yo/edit?usp=sharing"",""เชียงใหม่!J542"")"),0)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5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IFERROR(__xludf.DUMMYFUNCTION("IMPORTRANGE(""https://docs.google.com/spreadsheets/d/11923uPwbBZFjjGgGUA6NLw09EwE0CqkOc4q9oUmW1yo/edit?usp=sharing"",""เชียงใหม่!I543"")"),0)</f>
        <v>0</v>
      </c>
      <c r="J648" s="535">
        <f ca="1">IFERROR(__xludf.DUMMYFUNCTION("IMPORTRANGE(""https://docs.google.com/spreadsheets/d/11923uPwbBZFjjGgGUA6NLw09EwE0CqkOc4q9oUmW1yo/edit?usp=sharing"",""เชียงใหม่!J543"")"),0)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IFERROR(__xludf.DUMMYFUNCTION("IMPORTRANGE(""https://docs.google.com/spreadsheets/d/11923uPwbBZFjjGgGUA6NLw09EwE0CqkOc4q9oUmW1yo/edit?usp=sharing"",""เชียงใหม่!L543"")"),0)</f>
        <v>0</v>
      </c>
      <c r="M648" s="520"/>
      <c r="N648" s="537">
        <f ca="1">IFERROR(__xludf.DUMMYFUNCTION("IMPORTRANGE(""https://docs.google.com/spreadsheets/d/11923uPwbBZFjjGgGUA6NLw09EwE0CqkOc4q9oUmW1yo/edit?usp=sharing"",""เชียงใหม่!M543"")"),0)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5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IFERROR(__xludf.DUMMYFUNCTION("IMPORTRANGE(""https://docs.google.com/spreadsheets/d/11923uPwbBZFjjGgGUA6NLw09EwE0CqkOc4q9oUmW1yo/edit?usp=sharing"",""เชียงใหม่!I544"")"),22)</f>
        <v>22</v>
      </c>
      <c r="J649" s="535">
        <f ca="1">IFERROR(__xludf.DUMMYFUNCTION("IMPORTRANGE(""https://docs.google.com/spreadsheets/d/11923uPwbBZFjjGgGUA6NLw09EwE0CqkOc4q9oUmW1yo/edit?usp=sharing"",""เชียงใหม่!J544"")"),0)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IFERROR(__xludf.DUMMYFUNCTION("IMPORTRANGE(""https://docs.google.com/spreadsheets/d/11923uPwbBZFjjGgGUA6NLw09EwE0CqkOc4q9oUmW1yo/edit?usp=sharing"",""เชียงใหม่!L544"")"),2640)</f>
        <v>2640</v>
      </c>
      <c r="M649" s="520"/>
      <c r="N649" s="537">
        <f ca="1">IFERROR(__xludf.DUMMYFUNCTION("IMPORTRANGE(""https://docs.google.com/spreadsheets/d/11923uPwbBZFjjGgGUA6NLw09EwE0CqkOc4q9oUmW1yo/edit?usp=sharing"",""เชียงใหม่!M544"")"),0)</f>
        <v>0</v>
      </c>
      <c r="O649" s="536">
        <f t="shared" ca="1" si="132"/>
        <v>0</v>
      </c>
      <c r="P649" s="536"/>
    </row>
    <row r="650" spans="1:16" ht="21.75" customHeight="1" x14ac:dyDescent="0.45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IFERROR(__xludf.DUMMYFUNCTION("IMPORTRANGE(""https://docs.google.com/spreadsheets/d/11923uPwbBZFjjGgGUA6NLw09EwE0CqkOc4q9oUmW1yo/edit?usp=sharing"",""เชียงใหม่!I545"")"),0)</f>
        <v>0</v>
      </c>
      <c r="J650" s="535">
        <f ca="1">IFERROR(__xludf.DUMMYFUNCTION("IMPORTRANGE(""https://docs.google.com/spreadsheets/d/11923uPwbBZFjjGgGUA6NLw09EwE0CqkOc4q9oUmW1yo/edit?usp=sharing"",""เชียงใหม่!J545"")"),0)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IFERROR(__xludf.DUMMYFUNCTION("IMPORTRANGE(""https://docs.google.com/spreadsheets/d/11923uPwbBZFjjGgGUA6NLw09EwE0CqkOc4q9oUmW1yo/edit?usp=sharing"",""เชียงใหม่!L545"")"),0)</f>
        <v>0</v>
      </c>
      <c r="M650" s="520"/>
      <c r="N650" s="537">
        <f ca="1">IFERROR(__xludf.DUMMYFUNCTION("IMPORTRANGE(""https://docs.google.com/spreadsheets/d/11923uPwbBZFjjGgGUA6NLw09EwE0CqkOc4q9oUmW1yo/edit?usp=sharing"",""เชียงใหม่!M545"")"),0)</f>
        <v>0</v>
      </c>
      <c r="O650" s="536">
        <f t="shared" ca="1" si="132"/>
        <v>0</v>
      </c>
      <c r="P650" s="536"/>
    </row>
    <row r="651" spans="1:16" ht="21.75" customHeight="1" x14ac:dyDescent="0.45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IFERROR(__xludf.DUMMYFUNCTION("IMPORTRANGE(""https://docs.google.com/spreadsheets/d/11923uPwbBZFjjGgGUA6NLw09EwE0CqkOc4q9oUmW1yo/edit?usp=sharing"",""เชียงใหม่!I546"")"),101)</f>
        <v>101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IFERROR(__xludf.DUMMYFUNCTION("IMPORTRANGE(""https://docs.google.com/spreadsheets/d/11923uPwbBZFjjGgGUA6NLw09EwE0CqkOc4q9oUmW1yo/edit?usp=sharing"",""เชียงใหม่!L546"")"),2525)</f>
        <v>2525</v>
      </c>
      <c r="M651" s="520"/>
      <c r="N651" s="537">
        <f ca="1">IFERROR(__xludf.DUMMYFUNCTION("IMPORTRANGE(""https://docs.google.com/spreadsheets/d/11923uPwbBZFjjGgGUA6NLw09EwE0CqkOc4q9oUmW1yo/edit?usp=sharing"",""เชียงใหม่!M546"")"),0)</f>
        <v>0</v>
      </c>
      <c r="O651" s="536">
        <f t="shared" ca="1" si="132"/>
        <v>0</v>
      </c>
      <c r="P651" s="536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IFERROR(__xludf.DUMMYFUNCTION("IMPORTRANGE(""https://docs.google.com/spreadsheets/d/11923uPwbBZFjjGgGUA6NLw09EwE0CqkOc4q9oUmW1yo/edit?usp=sharing"",""เชียงใหม่!J547"")"),0)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IFERROR(__xludf.DUMMYFUNCTION("IMPORTRANGE(""https://docs.google.com/spreadsheets/d/11923uPwbBZFjjGgGUA6NLw09EwE0CqkOc4q9oUmW1yo/edit?usp=sharing"",""เชียงใหม่!J548"")"),0)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IFERROR(__xludf.DUMMYFUNCTION("IMPORTRANGE(""https://docs.google.com/spreadsheets/d/11923uPwbBZFjjGgGUA6NLw09EwE0CqkOc4q9oUmW1yo/edit?usp=sharing"",""เชียงใหม่!J550"")"),0)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IFERROR(__xludf.DUMMYFUNCTION("IMPORTRANGE(""https://docs.google.com/spreadsheets/d/11923uPwbBZFjjGgGUA6NLw09EwE0CqkOc4q9oUmW1yo/edit?usp=sharing"",""เชียงใหม่!J551"")"),0)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IFERROR(__xludf.DUMMYFUNCTION("IMPORTRANGE(""https://docs.google.com/spreadsheets/d/11923uPwbBZFjjGgGUA6NLw09EwE0CqkOc4q9oUmW1yo/edit?usp=sharing"",""เชียงใหม่!J552"")"),0)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IFERROR(__xludf.DUMMYFUNCTION("IMPORTRANGE(""https://docs.google.com/spreadsheets/d/11923uPwbBZFjjGgGUA6NLw09EwE0CqkOc4q9oUmW1yo/edit?usp=sharing"",""เชียงใหม่!J553"")"),0)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IFERROR(__xludf.DUMMYFUNCTION("IMPORTRANGE(""https://docs.google.com/spreadsheets/d/11923uPwbBZFjjGgGUA6NLw09EwE0CqkOc4q9oUmW1yo/edit?usp=sharing"",""เชียงใหม่!J554"")"),0)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IFERROR(__xludf.DUMMYFUNCTION("IMPORTRANGE(""https://docs.google.com/spreadsheets/d/11923uPwbBZFjjGgGUA6NLw09EwE0CqkOc4q9oUmW1yo/edit?usp=sharing"",""เชียงใหม่!J555"")"),0)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5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IFERROR(__xludf.DUMMYFUNCTION("IMPORTRANGE(""https://docs.google.com/spreadsheets/d/11923uPwbBZFjjGgGUA6NLw09EwE0CqkOc4q9oUmW1yo/edit?usp=sharing"",""เชียงใหม่!J556"")"),0)</f>
        <v>0</v>
      </c>
      <c r="K661" s="536"/>
      <c r="L661" s="521">
        <f ca="1">IFERROR(__xludf.DUMMYFUNCTION("IMPORTRANGE(""https://docs.google.com/spreadsheets/d/11923uPwbBZFjjGgGUA6NLw09EwE0CqkOc4q9oUmW1yo/edit?usp=sharing"",""เชียงใหม่!L556"")"),360)</f>
        <v>360</v>
      </c>
      <c r="M661" s="520"/>
      <c r="N661" s="537">
        <f ca="1">IFERROR(__xludf.DUMMYFUNCTION("IMPORTRANGE(""https://docs.google.com/spreadsheets/d/11923uPwbBZFjjGgGUA6NLw09EwE0CqkOc4q9oUmW1yo/edit?usp=sharing"",""เชียงใหม่!M556"")"),0)</f>
        <v>0</v>
      </c>
      <c r="O661" s="536">
        <f ca="1">IF(L661&gt;0,N661*100/L661,0)</f>
        <v>0</v>
      </c>
      <c r="P661" s="536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IFERROR(__xludf.DUMMYFUNCTION("IMPORTRANGE(""https://docs.google.com/spreadsheets/d/11923uPwbBZFjjGgGUA6NLw09EwE0CqkOc4q9oUmW1yo/edit?usp=sharing"",""เชียงใหม่!J557"")"),0)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IFERROR(__xludf.DUMMYFUNCTION("IMPORTRANGE(""https://docs.google.com/spreadsheets/d/11923uPwbBZFjjGgGUA6NLw09EwE0CqkOc4q9oUmW1yo/edit?usp=sharing"",""เชียงใหม่!I558"")"),9)</f>
        <v>9</v>
      </c>
      <c r="J663" s="535">
        <f ca="1">IFERROR(__xludf.DUMMYFUNCTION("IMPORTRANGE(""https://docs.google.com/spreadsheets/d/11923uPwbBZFjjGgGUA6NLw09EwE0CqkOc4q9oUmW1yo/edit?usp=sharing"",""เชียงใหม่!J558"")"),0)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5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IFERROR(__xludf.DUMMYFUNCTION("IMPORTRANGE(""https://docs.google.com/spreadsheets/d/11923uPwbBZFjjGgGUA6NLw09EwE0CqkOc4q9oUmW1yo/edit?usp=sharing"",""เชียงใหม่!I560"")"),0)</f>
        <v>0</v>
      </c>
      <c r="J665" s="535">
        <f ca="1">IFERROR(__xludf.DUMMYFUNCTION("IMPORTRANGE(""https://docs.google.com/spreadsheets/d/11923uPwbBZFjjGgGUA6NLw09EwE0CqkOc4q9oUmW1yo/edit?usp=sharing"",""เชียงใหม่!J560"")"),0)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IFERROR(__xludf.DUMMYFUNCTION("IMPORTRANGE(""https://docs.google.com/spreadsheets/d/11923uPwbBZFjjGgGUA6NLw09EwE0CqkOc4q9oUmW1yo/edit?usp=sharing"",""เชียงใหม่!L560"")"),0)</f>
        <v>0</v>
      </c>
      <c r="M665" s="520"/>
      <c r="N665" s="537">
        <f ca="1">IFERROR(__xludf.DUMMYFUNCTION("IMPORTRANGE(""https://docs.google.com/spreadsheets/d/11923uPwbBZFjjGgGUA6NLw09EwE0CqkOc4q9oUmW1yo/edit?usp=sharing"",""เชียงใหม่!M560"")"),0)</f>
        <v>0</v>
      </c>
      <c r="O665" s="536">
        <f ca="1">IF(L665&gt;0,N665*100/L665,0)</f>
        <v>0</v>
      </c>
      <c r="P665" s="536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IFERROR(__xludf.DUMMYFUNCTION("IMPORTRANGE(""https://docs.google.com/spreadsheets/d/11923uPwbBZFjjGgGUA6NLw09EwE0CqkOc4q9oUmW1yo/edit?usp=sharing"",""เชียงใหม่!J561"")"),0)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IFERROR(__xludf.DUMMYFUNCTION("IMPORTRANGE(""https://docs.google.com/spreadsheets/d/11923uPwbBZFjjGgGUA6NLw09EwE0CqkOc4q9oUmW1yo/edit?usp=sharing"",""เชียงใหม่!J562"")"),0)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IFERROR(__xludf.DUMMYFUNCTION("IMPORTRANGE(""https://docs.google.com/spreadsheets/d/11923uPwbBZFjjGgGUA6NLw09EwE0CqkOc4q9oUmW1yo/edit?usp=sharing"",""เชียงใหม่!I563"")"),0)</f>
        <v>0</v>
      </c>
      <c r="J668" s="535">
        <f ca="1">IFERROR(__xludf.DUMMYFUNCTION("IMPORTRANGE(""https://docs.google.com/spreadsheets/d/11923uPwbBZFjjGgGUA6NLw09EwE0CqkOc4q9oUmW1yo/edit?usp=sharing"",""เชียงใหม่!J563"")"),0)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IFERROR(__xludf.DUMMYFUNCTION("IMPORTRANGE(""https://docs.google.com/spreadsheets/d/11923uPwbBZFjjGgGUA6NLw09EwE0CqkOc4q9oUmW1yo/edit?usp=sharing"",""เชียงใหม่!L563"")"),0)</f>
        <v>0</v>
      </c>
      <c r="M668" s="520"/>
      <c r="N668" s="537">
        <f ca="1">IFERROR(__xludf.DUMMYFUNCTION("IMPORTRANGE(""https://docs.google.com/spreadsheets/d/11923uPwbBZFjjGgGUA6NLw09EwE0CqkOc4q9oUmW1yo/edit?usp=sharing"",""เชียงใหม่!M563"")"),0)</f>
        <v>0</v>
      </c>
      <c r="O668" s="536">
        <f ca="1">IF(L668&gt;0,N668*100/L668,0)</f>
        <v>0</v>
      </c>
      <c r="P668" s="536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IFERROR(__xludf.DUMMYFUNCTION("IMPORTRANGE(""https://docs.google.com/spreadsheets/d/11923uPwbBZFjjGgGUA6NLw09EwE0CqkOc4q9oUmW1yo/edit?usp=sharing"",""เชียงใหม่!J564"")"),0)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IFERROR(__xludf.DUMMYFUNCTION("IMPORTRANGE(""https://docs.google.com/spreadsheets/d/11923uPwbBZFjjGgGUA6NLw09EwE0CqkOc4q9oUmW1yo/edit?usp=sharing"",""เชียงใหม่!J565"")"),0)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5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IFERROR(__xludf.DUMMYFUNCTION("IMPORTRANGE(""https://docs.google.com/spreadsheets/d/11923uPwbBZFjjGgGUA6NLw09EwE0CqkOc4q9oUmW1yo/edit?usp=sharing"",""เชียงใหม่!I566"")"),0)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IFERROR(__xludf.DUMMYFUNCTION("IMPORTRANGE(""https://docs.google.com/spreadsheets/d/11923uPwbBZFjjGgGUA6NLw09EwE0CqkOc4q9oUmW1yo/edit?usp=sharing"",""เชียงใหม่!L566"")"),0)</f>
        <v>0</v>
      </c>
      <c r="M671" s="520"/>
      <c r="N671" s="537">
        <f ca="1">IFERROR(__xludf.DUMMYFUNCTION("IMPORTRANGE(""https://docs.google.com/spreadsheets/d/11923uPwbBZFjjGgGUA6NLw09EwE0CqkOc4q9oUmW1yo/edit?usp=sharing"",""เชียงใหม่!M566"")"),0)</f>
        <v>0</v>
      </c>
      <c r="O671" s="536">
        <f ca="1">IF(L671&gt;0,N671*100/L671,0)</f>
        <v>0</v>
      </c>
      <c r="P671" s="536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IFERROR(__xludf.DUMMYFUNCTION("IMPORTRANGE(""https://docs.google.com/spreadsheets/d/11923uPwbBZFjjGgGUA6NLw09EwE0CqkOc4q9oUmW1yo/edit?usp=sharing"",""เชียงใหม่!J567"")"),0)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IFERROR(__xludf.DUMMYFUNCTION("IMPORTRANGE(""https://docs.google.com/spreadsheets/d/11923uPwbBZFjjGgGUA6NLw09EwE0CqkOc4q9oUmW1yo/edit?usp=sharing"",""เชียงใหม่!J568"")"),0)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IFERROR(__xludf.DUMMYFUNCTION("IMPORTRANGE(""https://docs.google.com/spreadsheets/d/11923uPwbBZFjjGgGUA6NLw09EwE0CqkOc4q9oUmW1yo/edit?usp=sharing"",""เชียงใหม่!J569"")"),0)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IFERROR(__xludf.DUMMYFUNCTION("IMPORTRANGE(""https://docs.google.com/spreadsheets/d/11923uPwbBZFjjGgGUA6NLw09EwE0CqkOc4q9oUmW1yo/edit?usp=sharing"",""เชียงใหม่!J570"")"),0)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IFERROR(__xludf.DUMMYFUNCTION("IMPORTRANGE(""https://docs.google.com/spreadsheets/d/11923uPwbBZFjjGgGUA6NLw09EwE0CqkOc4q9oUmW1yo/edit?usp=sharing"",""เชียงใหม่!J571"")"),0)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5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IFERROR(__xludf.DUMMYFUNCTION("IMPORTRANGE(""https://docs.google.com/spreadsheets/d/11923uPwbBZFjjGgGUA6NLw09EwE0CqkOc4q9oUmW1yo/edit?usp=sharing"",""เชียงใหม่!J572"")"),0)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61">
    <mergeCell ref="A1:P1"/>
    <mergeCell ref="A2:P2"/>
    <mergeCell ref="A3:P3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35">
      <c r="A2" s="577" t="s">
        <v>266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3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4700448</v>
      </c>
      <c r="M8" s="23">
        <f t="shared" ca="1" si="0"/>
        <v>2388260</v>
      </c>
      <c r="N8" s="23">
        <f t="shared" ca="1" si="0"/>
        <v>3163105.27</v>
      </c>
      <c r="O8" s="22">
        <f t="shared" ref="O8:O16" ca="1" si="1">IF(L8&gt;0,N8*100/L8,0)</f>
        <v>67.293697749661305</v>
      </c>
      <c r="P8" s="22">
        <f t="shared" ref="P8:P16" ca="1" si="2">IF(M8&gt;0,N8*100/M8,0)</f>
        <v>132.443924447087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4700448</v>
      </c>
      <c r="M10" s="30">
        <f t="shared" ca="1" si="4"/>
        <v>2388260</v>
      </c>
      <c r="N10" s="30">
        <f t="shared" ca="1" si="4"/>
        <v>3163105.27</v>
      </c>
      <c r="O10" s="29">
        <f t="shared" ca="1" si="1"/>
        <v>67.293697749661305</v>
      </c>
      <c r="P10" s="29">
        <f t="shared" ca="1" si="2"/>
        <v>132.443924447087</v>
      </c>
    </row>
    <row r="11" spans="1:16" ht="21.75" customHeight="1" x14ac:dyDescent="0.45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4469828</v>
      </c>
      <c r="M12" s="39">
        <f t="shared" ca="1" si="6"/>
        <v>2157640</v>
      </c>
      <c r="N12" s="39">
        <f t="shared" ca="1" si="6"/>
        <v>2932485.27</v>
      </c>
      <c r="O12" s="39">
        <f t="shared" ca="1" si="1"/>
        <v>65.606221760658357</v>
      </c>
      <c r="P12" s="39">
        <f t="shared" ca="1" si="2"/>
        <v>135.91170306445932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1854900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2614928</v>
      </c>
      <c r="M14" s="39">
        <f t="shared" si="8"/>
        <v>0</v>
      </c>
      <c r="N14" s="39">
        <f t="shared" ca="1" si="8"/>
        <v>1226209.5</v>
      </c>
      <c r="O14" s="39">
        <f t="shared" ca="1" si="1"/>
        <v>46.892667790470711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230620</v>
      </c>
      <c r="M16" s="39">
        <f t="shared" ca="1" si="10"/>
        <v>230620</v>
      </c>
      <c r="N16" s="39">
        <f t="shared" ca="1" si="10"/>
        <v>230620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2907220</v>
      </c>
      <c r="M18" s="23">
        <f t="shared" ca="1" si="11"/>
        <v>2388260</v>
      </c>
      <c r="N18" s="23">
        <f t="shared" ca="1" si="11"/>
        <v>1936895.77</v>
      </c>
      <c r="O18" s="22">
        <f t="shared" ref="O18:O20" ca="1" si="12">IF(L18&gt;0,N18*100/L18,0)</f>
        <v>66.623639421853184</v>
      </c>
      <c r="P18" s="22">
        <f t="shared" ref="P18:P26" ca="1" si="13">IF(M18&gt;0,N18*100/M18,0)</f>
        <v>81.100708046862565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2907220</v>
      </c>
      <c r="M20" s="30">
        <f t="shared" ca="1" si="15"/>
        <v>2388260</v>
      </c>
      <c r="N20" s="30">
        <f t="shared" ca="1" si="15"/>
        <v>1936895.77</v>
      </c>
      <c r="O20" s="29">
        <f t="shared" ca="1" si="12"/>
        <v>66.623639421853184</v>
      </c>
      <c r="P20" s="29">
        <f t="shared" ca="1" si="13"/>
        <v>81.100708046862565</v>
      </c>
    </row>
    <row r="21" spans="1:16" ht="21.75" customHeight="1" x14ac:dyDescent="0.45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2676600</v>
      </c>
      <c r="M22" s="42">
        <f t="shared" ca="1" si="18"/>
        <v>2157640</v>
      </c>
      <c r="N22" s="39">
        <f t="shared" ca="1" si="18"/>
        <v>1706275.77</v>
      </c>
      <c r="O22" s="39">
        <f t="shared" ca="1" si="17"/>
        <v>63.747880520062765</v>
      </c>
      <c r="P22" s="39">
        <f t="shared" ca="1" si="13"/>
        <v>79.080651545206806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1854900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821700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230620</v>
      </c>
      <c r="M26" s="50">
        <f t="shared" ca="1" si="22"/>
        <v>230620</v>
      </c>
      <c r="N26" s="50">
        <f t="shared" ca="1" si="22"/>
        <v>230620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1793228</v>
      </c>
      <c r="M28" s="23">
        <f t="shared" si="23"/>
        <v>0</v>
      </c>
      <c r="N28" s="23">
        <f t="shared" ca="1" si="23"/>
        <v>1226209.5</v>
      </c>
      <c r="O28" s="22">
        <f t="shared" ref="O28:O30" ca="1" si="24">IF(L28&gt;0,N28*100/L28,0)</f>
        <v>68.380010796173153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1793228</v>
      </c>
      <c r="M30" s="30">
        <f t="shared" si="27"/>
        <v>0</v>
      </c>
      <c r="N30" s="30">
        <f t="shared" ca="1" si="27"/>
        <v>1226209.5</v>
      </c>
      <c r="O30" s="29">
        <f t="shared" ca="1" si="24"/>
        <v>68.380010796173153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1793228</v>
      </c>
      <c r="M32" s="39">
        <f t="shared" si="30"/>
        <v>0</v>
      </c>
      <c r="N32" s="39">
        <f t="shared" ca="1" si="30"/>
        <v>1226209.5</v>
      </c>
      <c r="O32" s="39">
        <f t="shared" ca="1" si="29"/>
        <v>68.380010796173153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1793228</v>
      </c>
      <c r="M34" s="39">
        <f t="shared" si="32"/>
        <v>0</v>
      </c>
      <c r="N34" s="39">
        <f t="shared" ca="1" si="32"/>
        <v>1226209.5</v>
      </c>
      <c r="O34" s="39">
        <f t="shared" ca="1" si="29"/>
        <v>68.380010796173153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2907220</v>
      </c>
      <c r="M37" s="55">
        <f t="shared" ca="1" si="33"/>
        <v>2388260</v>
      </c>
      <c r="N37" s="55">
        <f t="shared" ca="1" si="33"/>
        <v>1936895.77</v>
      </c>
      <c r="O37" s="56">
        <f t="shared" ca="1" si="29"/>
        <v>66.623639421853184</v>
      </c>
      <c r="P37" s="56">
        <f t="shared" ca="1" si="25"/>
        <v>81.100708046862565</v>
      </c>
    </row>
    <row r="38" spans="1:16" ht="21.75" customHeight="1" x14ac:dyDescent="0.45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694100</v>
      </c>
      <c r="M41" s="79">
        <f t="shared" ca="1" si="34"/>
        <v>520600</v>
      </c>
      <c r="N41" s="79">
        <f t="shared" ca="1" si="34"/>
        <v>396307.91</v>
      </c>
      <c r="O41" s="78">
        <f t="shared" ref="O41:O43" ca="1" si="35">IF(L41&gt;0,N41*100/L41,0)</f>
        <v>57.096658982855494</v>
      </c>
      <c r="P41" s="78">
        <f t="shared" ref="P41:P43" ca="1" si="36">IF(M41&gt;0,N41*100/M41,0)</f>
        <v>76.125222819823279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694100</v>
      </c>
      <c r="M43" s="79">
        <f t="shared" ca="1" si="38"/>
        <v>520600</v>
      </c>
      <c r="N43" s="79">
        <f t="shared" ca="1" si="38"/>
        <v>396307.91</v>
      </c>
      <c r="O43" s="78">
        <f t="shared" ca="1" si="35"/>
        <v>57.096658982855494</v>
      </c>
      <c r="P43" s="78">
        <f t="shared" ca="1" si="36"/>
        <v>76.125222819823279</v>
      </c>
    </row>
    <row r="44" spans="1:16" ht="21.75" customHeight="1" x14ac:dyDescent="0.45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694100</v>
      </c>
      <c r="M45" s="50">
        <f ca="1">IFERROR(__xludf.DUMMYFUNCTION("IMPORTRANGE(""https://docs.google.com/spreadsheets/d/1Yj_ptqi66GCucihVvJfMjLAmec39IyEx_6qawtMGysU/edit?usp=sharing"",""สบก!Q23"")"),520600)</f>
        <v>520600</v>
      </c>
      <c r="N45" s="50">
        <f ca="1">IFERROR(__xludf.DUMMYFUNCTION("IMPORTRANGE(""https://docs.google.com/spreadsheets/d/1Yj_ptqi66GCucihVvJfMjLAmec39IyEx_6qawtMGysU/edit?usp=sharing"",""สบก!R23"")"),396307.91)</f>
        <v>396307.91</v>
      </c>
      <c r="O45" s="39">
        <f ca="1">IF(L45&gt;0,N45*100/L45,0)</f>
        <v>57.096658982855494</v>
      </c>
      <c r="P45" s="39">
        <f ca="1">IF(M45&gt;0,N45*100/M45,0)</f>
        <v>76.125222819823279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IFERROR(__xludf.DUMMYFUNCTION("IMPORTRANGE(""https://docs.google.com/spreadsheets/d/1Yj_ptqi66GCucihVvJfMjLAmec39IyEx_6qawtMGysU/edit?usp=sharing"",""สบก!M23"")"),694100)</f>
        <v>694100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IFERROR(__xludf.DUMMYFUNCTION("IMPORTRANGE(""https://docs.google.com/spreadsheets/d/1Yj_ptqi66GCucihVvJfMjLAmec39IyEx_6qawtMGysU/edit?usp=sharing"",""สบก!N23"")"),0)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IFERROR(__xludf.DUMMYFUNCTION("IMPORTRANGE(""https://docs.google.com/spreadsheets/d/1Yj_ptqi66GCucihVvJfMjLAmec39IyEx_6qawtMGysU/edit?usp=sharing"",""สบก!O23"")"),0)</f>
        <v>0</v>
      </c>
      <c r="M49" s="50"/>
      <c r="N49" s="50">
        <f ca="1">IFERROR(__xludf.DUMMYFUNCTION("IMPORTRANGE(""https://docs.google.com/spreadsheets/d/1Yj_ptqi66GCucihVvJfMjLAmec39IyEx_6qawtMGysU/edit?usp=sharing"",""สบก!S23"")"),0)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328860</v>
      </c>
      <c r="N53" s="121">
        <f t="shared" ca="1" si="39"/>
        <v>291113</v>
      </c>
      <c r="O53" s="120">
        <f t="shared" ref="O53:O55" ca="1" si="40">IF(L53&gt;0,N53*100/L53,0)</f>
        <v>72.77825</v>
      </c>
      <c r="P53" s="120">
        <f t="shared" ref="P53:P55" ca="1" si="41">IF(M53&gt;0,N53*100/M53,0)</f>
        <v>88.521863406920872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328860</v>
      </c>
      <c r="N55" s="121">
        <f t="shared" ca="1" si="43"/>
        <v>291113</v>
      </c>
      <c r="O55" s="120">
        <f t="shared" ca="1" si="40"/>
        <v>72.77825</v>
      </c>
      <c r="P55" s="120">
        <f t="shared" ca="1" si="41"/>
        <v>88.521863406920872</v>
      </c>
    </row>
    <row r="56" spans="1:16" ht="21.75" customHeight="1" x14ac:dyDescent="0.45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IFERROR(__xludf.DUMMYFUNCTION("IMPORTRANGE(""https://docs.google.com/spreadsheets/d/1Yj_ptqi66GCucihVvJfMjLAmec39IyEx_6qawtMGysU/edit?usp=sharing"",""สบก!Z23"")"),328860)</f>
        <v>328860</v>
      </c>
      <c r="N57" s="50">
        <f ca="1">IFERROR(__xludf.DUMMYFUNCTION("IMPORTRANGE(""https://docs.google.com/spreadsheets/d/1Yj_ptqi66GCucihVvJfMjLAmec39IyEx_6qawtMGysU/edit?usp=sharing"",""สบก!AA23"")"),291113)</f>
        <v>291113</v>
      </c>
      <c r="O57" s="39">
        <f ca="1">IF(L57&gt;0,N57*100/L57,0)</f>
        <v>72.77825</v>
      </c>
      <c r="P57" s="39">
        <f ca="1">IF(M57&gt;0,N57*100/M57,0)</f>
        <v>88.521863406920872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IFERROR(__xludf.DUMMYFUNCTION("IMPORTRANGE(""https://docs.google.com/spreadsheets/d/1Yj_ptqi66GCucihVvJfMjLAmec39IyEx_6qawtMGysU/edit?usp=sharing"",""สบก!V23"")"),400000)</f>
        <v>400000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IFERROR(__xludf.DUMMYFUNCTION("IMPORTRANGE(""https://docs.google.com/spreadsheets/d/1Yj_ptqi66GCucihVvJfMjLAmec39IyEx_6qawtMGysU/edit?usp=sharing"",""สบก!W23"")"),0)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IFERROR(__xludf.DUMMYFUNCTION("IMPORTRANGE(""https://docs.google.com/spreadsheets/d/1Yj_ptqi66GCucihVvJfMjLAmec39IyEx_6qawtMGysU/edit?usp=sharing"",""สบก!X23"")"),0)</f>
        <v>0</v>
      </c>
      <c r="M61" s="50"/>
      <c r="N61" s="50">
        <f ca="1">IFERROR(__xludf.DUMMYFUNCTION("IMPORTRANGE(""https://docs.google.com/spreadsheets/d/1Yj_ptqi66GCucihVvJfMjLAmec39IyEx_6qawtMGysU/edit?usp=sharing"",""สบก!AB23"")"),0)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IFERROR(__xludf.DUMMYFUNCTION("IMPORTRANGE(""https://docs.google.com/spreadsheets/d/11923uPwbBZFjjGgGUA6NLw09EwE0CqkOc4q9oUmW1yo/edit?usp=sharing"",""ตาก!I9"")"),0)</f>
        <v>0</v>
      </c>
      <c r="J64" s="142">
        <f ca="1">IFERROR(__xludf.DUMMYFUNCTION("IMPORTRANGE(""https://docs.google.com/spreadsheets/d/11923uPwbBZFjjGgGUA6NLw09EwE0CqkOc4q9oUmW1yo/edit?usp=sharing"",""ตาก!J9"")"),0)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IFERROR(__xludf.DUMMYFUNCTION("IMPORTRANGE(""https://docs.google.com/spreadsheets/d/11923uPwbBZFjjGgGUA6NLw09EwE0CqkOc4q9oUmW1yo/edit?usp=sharing"",""ตาก!I10"")"),0)</f>
        <v>0</v>
      </c>
      <c r="J65" s="142">
        <f ca="1">IFERROR(__xludf.DUMMYFUNCTION("IMPORTRANGE(""https://docs.google.com/spreadsheets/d/11923uPwbBZFjjGgGUA6NLw09EwE0CqkOc4q9oUmW1yo/edit?usp=sharing"",""ตาก!J10"")"),0)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IFERROR(__xludf.DUMMYFUNCTION("IMPORTRANGE(""https://docs.google.com/spreadsheets/d/1Yj_ptqi66GCucihVvJfMjLAmec39IyEx_6qawtMGysU/edit?usp=sharing"",""สบก!AI23"")"),0)</f>
        <v>0</v>
      </c>
      <c r="N70" s="168">
        <f ca="1">IFERROR(__xludf.DUMMYFUNCTION("IMPORTRANGE(""https://docs.google.com/spreadsheets/d/1Yj_ptqi66GCucihVvJfMjLAmec39IyEx_6qawtMGysU/edit?usp=sharing"",""สบก!AJ23"")"),0)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IFERROR(__xludf.DUMMYFUNCTION("IMPORTRANGE(""https://docs.google.com/spreadsheets/d/1Yj_ptqi66GCucihVvJfMjLAmec39IyEx_6qawtMGysU/edit?usp=sharing"",""สบก!AE23"")"),0)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IFERROR(__xludf.DUMMYFUNCTION("IMPORTRANGE(""https://docs.google.com/spreadsheets/d/1Yj_ptqi66GCucihVvJfMjLAmec39IyEx_6qawtMGysU/edit?usp=sharing"",""สบก!AF23"")"),0)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IFERROR(__xludf.DUMMYFUNCTION("IMPORTRANGE(""https://docs.google.com/spreadsheets/d/1Yj_ptqi66GCucihVvJfMjLAmec39IyEx_6qawtMGysU/edit?usp=sharing"",""สบก!AG23"")"),0)</f>
        <v>0</v>
      </c>
      <c r="M74" s="50"/>
      <c r="N74" s="50">
        <f ca="1">IFERROR(__xludf.DUMMYFUNCTION("IMPORTRANGE(""https://docs.google.com/spreadsheets/d/1Yj_ptqi66GCucihVvJfMjLAmec39IyEx_6qawtMGysU/edit?usp=sharing"",""สบก!AK23"")"),0)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IFERROR(__xludf.DUMMYFUNCTION("IMPORTRANGE(""https://docs.google.com/spreadsheets/d/11923uPwbBZFjjGgGUA6NLw09EwE0CqkOc4q9oUmW1yo/edit?usp=sharing"",""ตาก!J16"")"),0)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IFERROR(__xludf.DUMMYFUNCTION("IMPORTRANGE(""https://docs.google.com/spreadsheets/d/11923uPwbBZFjjGgGUA6NLw09EwE0CqkOc4q9oUmW1yo/edit?usp=sharing"",""ตาก!J17"")"),0)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IFERROR(__xludf.DUMMYFUNCTION("IMPORTRANGE(""https://docs.google.com/spreadsheets/d/11923uPwbBZFjjGgGUA6NLw09EwE0CqkOc4q9oUmW1yo/edit?usp=sharing"",""ตาก!J18"")"),0)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IFERROR(__xludf.DUMMYFUNCTION("IMPORTRANGE(""https://docs.google.com/spreadsheets/d/11923uPwbBZFjjGgGUA6NLw09EwE0CqkOc4q9oUmW1yo/edit?usp=sharing"",""ตาก!J19"")"),0)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IFERROR(__xludf.DUMMYFUNCTION("IMPORTRANGE(""https://docs.google.com/spreadsheets/d/11923uPwbBZFjjGgGUA6NLw09EwE0CqkOc4q9oUmW1yo/edit?usp=sharing"",""ตาก!I20"")"),0)</f>
        <v>0</v>
      </c>
      <c r="J80" s="200">
        <f ca="1">IFERROR(__xludf.DUMMYFUNCTION("IMPORTRANGE(""https://docs.google.com/spreadsheets/d/11923uPwbBZFjjGgGUA6NLw09EwE0CqkOc4q9oUmW1yo/edit?usp=sharing"",""ตาก!J20"")"),0)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IFERROR(__xludf.DUMMYFUNCTION("IMPORTRANGE(""https://docs.google.com/spreadsheets/d/11923uPwbBZFjjGgGUA6NLw09EwE0CqkOc4q9oUmW1yo/edit?usp=sharing"",""ตาก!I21"")"),0)</f>
        <v>0</v>
      </c>
      <c r="J81" s="200">
        <f ca="1">IFERROR(__xludf.DUMMYFUNCTION("IMPORTRANGE(""https://docs.google.com/spreadsheets/d/11923uPwbBZFjjGgGUA6NLw09EwE0CqkOc4q9oUmW1yo/edit?usp=sharing"",""ตาก!J21"")"),0)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IFERROR(__xludf.DUMMYFUNCTION("IMPORTRANGE(""https://docs.google.com/spreadsheets/d/11923uPwbBZFjjGgGUA6NLw09EwE0CqkOc4q9oUmW1yo/edit?usp=sharing"",""ตาก!I22"")"),0)</f>
        <v>0</v>
      </c>
      <c r="J82" s="203">
        <f ca="1">IFERROR(__xludf.DUMMYFUNCTION("IMPORTRANGE(""https://docs.google.com/spreadsheets/d/11923uPwbBZFjjGgGUA6NLw09EwE0CqkOc4q9oUmW1yo/edit?usp=sharing"",""ตาก!J22"")"),0)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IFERROR(__xludf.DUMMYFUNCTION("IMPORTRANGE(""https://docs.google.com/spreadsheets/d/11923uPwbBZFjjGgGUA6NLw09EwE0CqkOc4q9oUmW1yo/edit?usp=sharing"",""ตาก!I23"")"),0)</f>
        <v>0</v>
      </c>
      <c r="J83" s="203">
        <f ca="1">IFERROR(__xludf.DUMMYFUNCTION("IMPORTRANGE(""https://docs.google.com/spreadsheets/d/11923uPwbBZFjjGgGUA6NLw09EwE0CqkOc4q9oUmW1yo/edit?usp=sharing"",""ตาก!J23"")"),0)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IFERROR(__xludf.DUMMYFUNCTION("IMPORTRANGE(""https://docs.google.com/spreadsheets/d/11923uPwbBZFjjGgGUA6NLw09EwE0CqkOc4q9oUmW1yo/edit?usp=sharing"",""ตาก!I24"")"),0)</f>
        <v>0</v>
      </c>
      <c r="J84" s="188">
        <f ca="1">IFERROR(__xludf.DUMMYFUNCTION("IMPORTRANGE(""https://docs.google.com/spreadsheets/d/11923uPwbBZFjjGgGUA6NLw09EwE0CqkOc4q9oUmW1yo/edit?usp=sharing"",""ตาก!J24"")"),0)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IFERROR(__xludf.DUMMYFUNCTION("IMPORTRANGE(""https://docs.google.com/spreadsheets/d/11923uPwbBZFjjGgGUA6NLw09EwE0CqkOc4q9oUmW1yo/edit?usp=sharing"",""ตาก!I25"")"),0)</f>
        <v>0</v>
      </c>
      <c r="J85" s="188">
        <f ca="1">IFERROR(__xludf.DUMMYFUNCTION("IMPORTRANGE(""https://docs.google.com/spreadsheets/d/11923uPwbBZFjjGgGUA6NLw09EwE0CqkOc4q9oUmW1yo/edit?usp=sharing"",""ตาก!J25"")"),0)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IFERROR(__xludf.DUMMYFUNCTION("IMPORTRANGE(""https://docs.google.com/spreadsheets/d/11923uPwbBZFjjGgGUA6NLw09EwE0CqkOc4q9oUmW1yo/edit?usp=sharing"",""ตาก!I26"")"),0)</f>
        <v>0</v>
      </c>
      <c r="J86" s="203">
        <f ca="1">IFERROR(__xludf.DUMMYFUNCTION("IMPORTRANGE(""https://docs.google.com/spreadsheets/d/11923uPwbBZFjjGgGUA6NLw09EwE0CqkOc4q9oUmW1yo/edit?usp=sharing"",""ตาก!J26"")"),0)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IFERROR(__xludf.DUMMYFUNCTION("IMPORTRANGE(""https://docs.google.com/spreadsheets/d/11923uPwbBZFjjGgGUA6NLw09EwE0CqkOc4q9oUmW1yo/edit?usp=sharing"",""ตาก!I27"")"),0)</f>
        <v>0</v>
      </c>
      <c r="J87" s="203">
        <f ca="1">IFERROR(__xludf.DUMMYFUNCTION("IMPORTRANGE(""https://docs.google.com/spreadsheets/d/11923uPwbBZFjjGgGUA6NLw09EwE0CqkOc4q9oUmW1yo/edit?usp=sharing"",""ตาก!J27"")"),0)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IFERROR(__xludf.DUMMYFUNCTION("IMPORTRANGE(""https://docs.google.com/spreadsheets/d/11923uPwbBZFjjGgGUA6NLw09EwE0CqkOc4q9oUmW1yo/edit?usp=sharing"",""ตาก!I28"")"),0)</f>
        <v>0</v>
      </c>
      <c r="J88" s="203">
        <f ca="1">IFERROR(__xludf.DUMMYFUNCTION("IMPORTRANGE(""https://docs.google.com/spreadsheets/d/11923uPwbBZFjjGgGUA6NLw09EwE0CqkOc4q9oUmW1yo/edit?usp=sharing"",""ตาก!J28"")"),0)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IFERROR(__xludf.DUMMYFUNCTION("IMPORTRANGE(""https://docs.google.com/spreadsheets/d/11923uPwbBZFjjGgGUA6NLw09EwE0CqkOc4q9oUmW1yo/edit?usp=sharing"",""ตาก!J29"")"),0)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IFERROR(__xludf.DUMMYFUNCTION("IMPORTRANGE(""https://docs.google.com/spreadsheets/d/11923uPwbBZFjjGgGUA6NLw09EwE0CqkOc4q9oUmW1yo/edit?usp=sharing"",""ตาก!J30"")"),0)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IFERROR(__xludf.DUMMYFUNCTION("IMPORTRANGE(""https://docs.google.com/spreadsheets/d/11923uPwbBZFjjGgGUA6NLw09EwE0CqkOc4q9oUmW1yo/edit?usp=sharing"",""ตาก!I32"")"),4)</f>
        <v>4</v>
      </c>
      <c r="J92" s="142">
        <f ca="1">IFERROR(__xludf.DUMMYFUNCTION("IMPORTRANGE(""https://docs.google.com/spreadsheets/d/11923uPwbBZFjjGgGUA6NLw09EwE0CqkOc4q9oUmW1yo/edit?usp=sharing"",""ตาก!J32"")"),4)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IFERROR(__xludf.DUMMYFUNCTION("IMPORTRANGE(""https://docs.google.com/spreadsheets/d/11923uPwbBZFjjGgGUA6NLw09EwE0CqkOc4q9oUmW1yo/edit?usp=sharing"",""ตาก!I33"")"),1)</f>
        <v>1</v>
      </c>
      <c r="J93" s="142">
        <f ca="1">IFERROR(__xludf.DUMMYFUNCTION("IMPORTRANGE(""https://docs.google.com/spreadsheets/d/11923uPwbBZFjjGgGUA6NLw09EwE0CqkOc4q9oUmW1yo/edit?usp=sharing"",""ตาก!J33"")"),1)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164338</v>
      </c>
      <c r="O94" s="151">
        <f t="shared" ref="O94:O96" ca="1" si="53">IF(L94&gt;0,N94*100/L94,0)</f>
        <v>76.614452214452214</v>
      </c>
      <c r="P94" s="151">
        <f t="shared" ref="P94:P96" ca="1" si="54">IF(M94&gt;0,N94*100/M94,0)</f>
        <v>84.512097914684631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194455</v>
      </c>
      <c r="N96" s="88">
        <f t="shared" ca="1" si="56"/>
        <v>164338</v>
      </c>
      <c r="O96" s="156">
        <f t="shared" ca="1" si="53"/>
        <v>76.614452214452214</v>
      </c>
      <c r="P96" s="156">
        <f t="shared" ca="1" si="54"/>
        <v>84.512097914684631</v>
      </c>
    </row>
    <row r="97" spans="1:16" ht="21.75" customHeight="1" x14ac:dyDescent="0.45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IFERROR(__xludf.DUMMYFUNCTION("IMPORTRANGE(""https://docs.google.com/spreadsheets/d/1Yj_ptqi66GCucihVvJfMjLAmec39IyEx_6qawtMGysU/edit?usp=sharing"",""สบก!AR23"")"),102055)</f>
        <v>102055</v>
      </c>
      <c r="N98" s="168">
        <f ca="1">IFERROR(__xludf.DUMMYFUNCTION("IMPORTRANGE(""https://docs.google.com/spreadsheets/d/1Yj_ptqi66GCucihVvJfMjLAmec39IyEx_6qawtMGysU/edit?usp=sharing"",""สบก!AS23"")"),71938)</f>
        <v>71938</v>
      </c>
      <c r="O98" s="168">
        <f ca="1">IF(L98&gt;0,N98*100/L98,0)</f>
        <v>58.91728091728092</v>
      </c>
      <c r="P98" s="168">
        <f ca="1">IF(M98&gt;0,N98*100/M98,0)</f>
        <v>70.489441967566506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IFERROR(__xludf.DUMMYFUNCTION("IMPORTRANGE(""https://docs.google.com/spreadsheets/d/1Yj_ptqi66GCucihVvJfMjLAmec39IyEx_6qawtMGysU/edit?usp=sharing"",""สบก!AN23"")"),0)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IFERROR(__xludf.DUMMYFUNCTION("IMPORTRANGE(""https://docs.google.com/spreadsheets/d/1Yj_ptqi66GCucihVvJfMjLAmec39IyEx_6qawtMGysU/edit?usp=sharing"",""สบก!AO23"")"),122100)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IFERROR(__xludf.DUMMYFUNCTION("IMPORTRANGE(""https://docs.google.com/spreadsheets/d/1Yj_ptqi66GCucihVvJfMjLAmec39IyEx_6qawtMGysU/edit?usp=sharing"",""สบก!AP23"")"),92400)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IFERROR(__xludf.DUMMYFUNCTION("IMPORTRANGE(""https://docs.google.com/spreadsheets/d/1Yj_ptqi66GCucihVvJfMjLAmec39IyEx_6qawtMGysU/edit?usp=sharing"",""สบก!AT23"")"),92400)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IFERROR(__xludf.DUMMYFUNCTION("IMPORTRANGE(""https://docs.google.com/spreadsheets/d/11923uPwbBZFjjGgGUA6NLw09EwE0CqkOc4q9oUmW1yo/edit?usp=sharing"",""ตาก!J39"")"),0)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IFERROR(__xludf.DUMMYFUNCTION("IMPORTRANGE(""https://docs.google.com/spreadsheets/d/11923uPwbBZFjjGgGUA6NLw09EwE0CqkOc4q9oUmW1yo/edit?usp=sharing"",""ตาก!J40"")"),1)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IFERROR(__xludf.DUMMYFUNCTION("IMPORTRANGE(""https://docs.google.com/spreadsheets/d/11923uPwbBZFjjGgGUA6NLw09EwE0CqkOc4q9oUmW1yo/edit?usp=sharing"",""ตาก!J41"")"),1)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IFERROR(__xludf.DUMMYFUNCTION("IMPORTRANGE(""https://docs.google.com/spreadsheets/d/11923uPwbBZFjjGgGUA6NLw09EwE0CqkOc4q9oUmW1yo/edit?usp=sharing"",""ตาก!J42"")"),1)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IFERROR(__xludf.DUMMYFUNCTION("IMPORTRANGE(""https://docs.google.com/spreadsheets/d/11923uPwbBZFjjGgGUA6NLw09EwE0CqkOc4q9oUmW1yo/edit?usp=sharing"",""ตาก!I43"")"),1)</f>
        <v>1</v>
      </c>
      <c r="J108" s="203">
        <f ca="1">IFERROR(__xludf.DUMMYFUNCTION("IMPORTRANGE(""https://docs.google.com/spreadsheets/d/11923uPwbBZFjjGgGUA6NLw09EwE0CqkOc4q9oUmW1yo/edit?usp=sharing"",""ตาก!J43"")"),1)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IFERROR(__xludf.DUMMYFUNCTION("IMPORTRANGE(""https://docs.google.com/spreadsheets/d/11923uPwbBZFjjGgGUA6NLw09EwE0CqkOc4q9oUmW1yo/edit?usp=sharing"",""ตาก!I44"")"),4)</f>
        <v>4</v>
      </c>
      <c r="J109" s="203">
        <f ca="1">IFERROR(__xludf.DUMMYFUNCTION("IMPORTRANGE(""https://docs.google.com/spreadsheets/d/11923uPwbBZFjjGgGUA6NLw09EwE0CqkOc4q9oUmW1yo/edit?usp=sharing"",""ตาก!J44"")"),4)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IFERROR(__xludf.DUMMYFUNCTION("IMPORTRANGE(""https://docs.google.com/spreadsheets/d/11923uPwbBZFjjGgGUA6NLw09EwE0CqkOc4q9oUmW1yo/edit?usp=sharing"",""ตาก!I45"")"),4)</f>
        <v>4</v>
      </c>
      <c r="J110" s="203">
        <f ca="1">IFERROR(__xludf.DUMMYFUNCTION("IMPORTRANGE(""https://docs.google.com/spreadsheets/d/11923uPwbBZFjjGgGUA6NLw09EwE0CqkOc4q9oUmW1yo/edit?usp=sharing"",""ตาก!J45"")"),4)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IFERROR(__xludf.DUMMYFUNCTION("IMPORTRANGE(""https://docs.google.com/spreadsheets/d/11923uPwbBZFjjGgGUA6NLw09EwE0CqkOc4q9oUmW1yo/edit?usp=sharing"",""ตาก!I46"")"),4)</f>
        <v>4</v>
      </c>
      <c r="J111" s="203">
        <f ca="1">IFERROR(__xludf.DUMMYFUNCTION("IMPORTRANGE(""https://docs.google.com/spreadsheets/d/11923uPwbBZFjjGgGUA6NLw09EwE0CqkOc4q9oUmW1yo/edit?usp=sharing"",""ตาก!J46"")"),4)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IFERROR(__xludf.DUMMYFUNCTION("IMPORTRANGE(""https://docs.google.com/spreadsheets/d/11923uPwbBZFjjGgGUA6NLw09EwE0CqkOc4q9oUmW1yo/edit?usp=sharing"",""ตาก!I47"")"),4)</f>
        <v>4</v>
      </c>
      <c r="J112" s="203">
        <f ca="1">IFERROR(__xludf.DUMMYFUNCTION("IMPORTRANGE(""https://docs.google.com/spreadsheets/d/11923uPwbBZFjjGgGUA6NLw09EwE0CqkOc4q9oUmW1yo/edit?usp=sharing"",""ตาก!J47"")"),4)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IFERROR(__xludf.DUMMYFUNCTION("IMPORTRANGE(""https://docs.google.com/spreadsheets/d/11923uPwbBZFjjGgGUA6NLw09EwE0CqkOc4q9oUmW1yo/edit?usp=sharing"",""ตาก!I48"")"),1)</f>
        <v>1</v>
      </c>
      <c r="J113" s="203">
        <f ca="1">IFERROR(__xludf.DUMMYFUNCTION("IMPORTRANGE(""https://docs.google.com/spreadsheets/d/11923uPwbBZFjjGgGUA6NLw09EwE0CqkOc4q9oUmW1yo/edit?usp=sharing"",""ตาก!J48"")"),1)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IFERROR(__xludf.DUMMYFUNCTION("IMPORTRANGE(""https://docs.google.com/spreadsheets/d/11923uPwbBZFjjGgGUA6NLw09EwE0CqkOc4q9oUmW1yo/edit?usp=sharing"",""ตาก!J49"")"),0)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IFERROR(__xludf.DUMMYFUNCTION("IMPORTRANGE(""https://docs.google.com/spreadsheets/d/11923uPwbBZFjjGgGUA6NLw09EwE0CqkOc4q9oUmW1yo/edit?usp=sharing"",""ตาก!J50"")"),0)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IFERROR(__xludf.DUMMYFUNCTION("IMPORTRANGE(""https://docs.google.com/spreadsheets/d/11923uPwbBZFjjGgGUA6NLw09EwE0CqkOc4q9oUmW1yo/edit?usp=sharing"",""ตาก!I52"")"),20)</f>
        <v>20</v>
      </c>
      <c r="J117" s="142">
        <f ca="1">IFERROR(__xludf.DUMMYFUNCTION("IMPORTRANGE(""https://docs.google.com/spreadsheets/d/11923uPwbBZFjjGgGUA6NLw09EwE0CqkOc4q9oUmW1yo/edit?usp=sharing"",""ตาก!J52"")"),20)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60885</v>
      </c>
      <c r="O118" s="151">
        <f t="shared" ref="O118:O120" ca="1" si="59">IF(L118&gt;0,N118*100/L118,0)</f>
        <v>73.853711790393007</v>
      </c>
      <c r="P118" s="151">
        <f t="shared" ref="P118:P120" ca="1" si="60">IF(M118&gt;0,N118*100/M118,0)</f>
        <v>73.853711790393007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60885</v>
      </c>
      <c r="O120" s="156">
        <f t="shared" ca="1" si="59"/>
        <v>73.853711790393007</v>
      </c>
      <c r="P120" s="156">
        <f t="shared" ca="1" si="60"/>
        <v>73.853711790393007</v>
      </c>
    </row>
    <row r="121" spans="1:16" ht="21.75" customHeight="1" x14ac:dyDescent="0.45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IFERROR(__xludf.DUMMYFUNCTION("IMPORTRANGE(""https://docs.google.com/spreadsheets/d/1Yj_ptqi66GCucihVvJfMjLAmec39IyEx_6qawtMGysU/edit?usp=sharing"",""สบก!BA23"")"),82440)</f>
        <v>82440</v>
      </c>
      <c r="N122" s="168">
        <f ca="1">IFERROR(__xludf.DUMMYFUNCTION("IMPORTRANGE(""https://docs.google.com/spreadsheets/d/1Yj_ptqi66GCucihVvJfMjLAmec39IyEx_6qawtMGysU/edit?usp=sharing"",""สบก!BB23"")"),60885)</f>
        <v>60885</v>
      </c>
      <c r="O122" s="168">
        <f ca="1">IF(L122&gt;0,N122*100/L122,0)</f>
        <v>73.853711790393007</v>
      </c>
      <c r="P122" s="168">
        <f ca="1">IF(M122&gt;0,N122*100/M122,0)</f>
        <v>73.853711790393007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IFERROR(__xludf.DUMMYFUNCTION("IMPORTRANGE(""https://docs.google.com/spreadsheets/d/1Yj_ptqi66GCucihVvJfMjLAmec39IyEx_6qawtMGysU/edit?usp=sharing"",""สบก!AW23"")"),0)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IFERROR(__xludf.DUMMYFUNCTION("IMPORTRANGE(""https://docs.google.com/spreadsheets/d/1Yj_ptqi66GCucihVvJfMjLAmec39IyEx_6qawtMGysU/edit?usp=sharing"",""สบก!AX23"")"),82440)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IFERROR(__xludf.DUMMYFUNCTION("IMPORTRANGE(""https://docs.google.com/spreadsheets/d/1Yj_ptqi66GCucihVvJfMjLAmec39IyEx_6qawtMGysU/edit?usp=sharing"",""สบก!AY23"")"),0)</f>
        <v>0</v>
      </c>
      <c r="M126" s="50"/>
      <c r="N126" s="50">
        <f ca="1">IFERROR(__xludf.DUMMYFUNCTION("IMPORTRANGE(""https://docs.google.com/spreadsheets/d/1Yj_ptqi66GCucihVvJfMjLAmec39IyEx_6qawtMGysU/edit?usp=sharing"",""สบก!BC23"")"),0)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267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IFERROR(__xludf.DUMMYFUNCTION("IMPORTRANGE(""https://docs.google.com/spreadsheets/d/11923uPwbBZFjjGgGUA6NLw09EwE0CqkOc4q9oUmW1yo/edit?usp=sharing"",""ตาก!J58"")"),0)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IFERROR(__xludf.DUMMYFUNCTION("IMPORTRANGE(""https://docs.google.com/spreadsheets/d/11923uPwbBZFjjGgGUA6NLw09EwE0CqkOc4q9oUmW1yo/edit?usp=sharing"",""ตาก!J59"")"),1)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IFERROR(__xludf.DUMMYFUNCTION("IMPORTRANGE(""https://docs.google.com/spreadsheets/d/11923uPwbBZFjjGgGUA6NLw09EwE0CqkOc4q9oUmW1yo/edit?usp=sharing"",""ตาก!J60"")"),1)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IFERROR(__xludf.DUMMYFUNCTION("IMPORTRANGE(""https://docs.google.com/spreadsheets/d/11923uPwbBZFjjGgGUA6NLw09EwE0CqkOc4q9oUmW1yo/edit?usp=sharing"",""ตาก!J61"")"),1)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IFERROR(__xludf.DUMMYFUNCTION("IMPORTRANGE(""https://docs.google.com/spreadsheets/d/11923uPwbBZFjjGgGUA6NLw09EwE0CqkOc4q9oUmW1yo/edit?usp=sharing"",""ตาก!I62"")"),20)</f>
        <v>20</v>
      </c>
      <c r="J132" s="203">
        <f ca="1">IFERROR(__xludf.DUMMYFUNCTION("IMPORTRANGE(""https://docs.google.com/spreadsheets/d/11923uPwbBZFjjGgGUA6NLw09EwE0CqkOc4q9oUmW1yo/edit?usp=sharing"",""ตาก!J62"")"),20)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IFERROR(__xludf.DUMMYFUNCTION("IMPORTRANGE(""https://docs.google.com/spreadsheets/d/11923uPwbBZFjjGgGUA6NLw09EwE0CqkOc4q9oUmW1yo/edit?usp=sharing"",""ตาก!I63"")"),20)</f>
        <v>20</v>
      </c>
      <c r="J133" s="203">
        <f ca="1">IFERROR(__xludf.DUMMYFUNCTION("IMPORTRANGE(""https://docs.google.com/spreadsheets/d/11923uPwbBZFjjGgGUA6NLw09EwE0CqkOc4q9oUmW1yo/edit?usp=sharing"",""ตาก!J63"")"),20)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IFERROR(__xludf.DUMMYFUNCTION("IMPORTRANGE(""https://docs.google.com/spreadsheets/d/11923uPwbBZFjjGgGUA6NLw09EwE0CqkOc4q9oUmW1yo/edit?usp=sharing"",""ตาก!J64"")"),0)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IFERROR(__xludf.DUMMYFUNCTION("IMPORTRANGE(""https://docs.google.com/spreadsheets/d/11923uPwbBZFjjGgGUA6NLw09EwE0CqkOc4q9oUmW1yo/edit?usp=sharing"",""ตาก!J65"")"),0)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IFERROR(__xludf.DUMMYFUNCTION("IMPORTRANGE(""https://docs.google.com/spreadsheets/d/11923uPwbBZFjjGgGUA6NLw09EwE0CqkOc4q9oUmW1yo/edit?usp=sharing"",""ตาก!I68"")"),0)</f>
        <v>0</v>
      </c>
      <c r="J138" s="267">
        <f ca="1">IFERROR(__xludf.DUMMYFUNCTION("IMPORTRANGE(""https://docs.google.com/spreadsheets/d/11923uPwbBZFjjGgGUA6NLw09EwE0CqkOc4q9oUmW1yo/edit?usp=sharing"",""ตาก!J68"")"),0)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98725</v>
      </c>
      <c r="N140" s="152">
        <f t="shared" ca="1" si="64"/>
        <v>50230</v>
      </c>
      <c r="O140" s="151">
        <f t="shared" ref="O140:O142" ca="1" si="65">IF(L140&gt;0,N140*100/L140,0)</f>
        <v>72.79710144927536</v>
      </c>
      <c r="P140" s="151">
        <f t="shared" ref="P140:P142" ca="1" si="66">IF(M140&gt;0,N140*100/M140,0)</f>
        <v>50.878703469232718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98725</v>
      </c>
      <c r="N142" s="88">
        <f t="shared" ca="1" si="68"/>
        <v>50230</v>
      </c>
      <c r="O142" s="156">
        <f t="shared" ca="1" si="65"/>
        <v>72.79710144927536</v>
      </c>
      <c r="P142" s="156">
        <f t="shared" ca="1" si="66"/>
        <v>50.878703469232718</v>
      </c>
    </row>
    <row r="143" spans="1:16" ht="21.75" customHeight="1" x14ac:dyDescent="0.45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IFERROR(__xludf.DUMMYFUNCTION("IMPORTRANGE(""https://docs.google.com/spreadsheets/d/1Yj_ptqi66GCucihVvJfMjLAmec39IyEx_6qawtMGysU/edit?usp=sharing"",""สบก!BJ23"")"),98725)</f>
        <v>98725</v>
      </c>
      <c r="N144" s="168">
        <f ca="1">IFERROR(__xludf.DUMMYFUNCTION("IMPORTRANGE(""https://docs.google.com/spreadsheets/d/1Yj_ptqi66GCucihVvJfMjLAmec39IyEx_6qawtMGysU/edit?usp=sharing"",""สบก!BK23"")"),50230)</f>
        <v>50230</v>
      </c>
      <c r="O144" s="168">
        <f ca="1">IF(L144&gt;0,N144*100/L144,0)</f>
        <v>72.79710144927536</v>
      </c>
      <c r="P144" s="168">
        <f ca="1">IF(M144&gt;0,N144*100/M144,0)</f>
        <v>50.878703469232718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IFERROR(__xludf.DUMMYFUNCTION("IMPORTRANGE(""https://docs.google.com/spreadsheets/d/1Yj_ptqi66GCucihVvJfMjLAmec39IyEx_6qawtMGysU/edit?usp=sharing"",""สบก!BF23"")"),0)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IFERROR(__xludf.DUMMYFUNCTION("IMPORTRANGE(""https://docs.google.com/spreadsheets/d/1Yj_ptqi66GCucihVvJfMjLAmec39IyEx_6qawtMGysU/edit?usp=sharing"",""สบก!BG23"")"),69000)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IFERROR(__xludf.DUMMYFUNCTION("IMPORTRANGE(""https://docs.google.com/spreadsheets/d/1Yj_ptqi66GCucihVvJfMjLAmec39IyEx_6qawtMGysU/edit?usp=sharing"",""สบก!BH23"")"),0)</f>
        <v>0</v>
      </c>
      <c r="M148" s="50"/>
      <c r="N148" s="50">
        <f ca="1">IFERROR(__xludf.DUMMYFUNCTION("IMPORTRANGE(""https://docs.google.com/spreadsheets/d/1Yj_ptqi66GCucihVvJfMjLAmec39IyEx_6qawtMGysU/edit?usp=sharing"",""สบก!BL23"")"),0)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IFERROR(__xludf.DUMMYFUNCTION("IMPORTRANGE(""https://docs.google.com/spreadsheets/d/11923uPwbBZFjjGgGUA6NLw09EwE0CqkOc4q9oUmW1yo/edit?usp=sharing"",""ตาก!I74"")"),4)</f>
        <v>4</v>
      </c>
      <c r="J149" s="275">
        <f ca="1">IFERROR(__xludf.DUMMYFUNCTION("IMPORTRANGE(""https://docs.google.com/spreadsheets/d/11923uPwbBZFjjGgGUA6NLw09EwE0CqkOc4q9oUmW1yo/edit?usp=sharing"",""ตาก!J74"")"),2)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IFERROR(__xludf.DUMMYFUNCTION("IMPORTRANGE(""https://docs.google.com/spreadsheets/d/11923uPwbBZFjjGgGUA6NLw09EwE0CqkOc4q9oUmW1yo/edit?usp=sharing"",""ตาก!J79"")"),0)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IFERROR(__xludf.DUMMYFUNCTION("IMPORTRANGE(""https://docs.google.com/spreadsheets/d/11923uPwbBZFjjGgGUA6NLw09EwE0CqkOc4q9oUmW1yo/edit?usp=sharing"",""ตาก!J80"")"),1)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IFERROR(__xludf.DUMMYFUNCTION("IMPORTRANGE(""https://docs.google.com/spreadsheets/d/11923uPwbBZFjjGgGUA6NLw09EwE0CqkOc4q9oUmW1yo/edit?usp=sharing"",""ตาก!J81"")"),1)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IFERROR(__xludf.DUMMYFUNCTION("IMPORTRANGE(""https://docs.google.com/spreadsheets/d/11923uPwbBZFjjGgGUA6NLw09EwE0CqkOc4q9oUmW1yo/edit?usp=sharing"",""ตาก!J82"")"),1)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IFERROR(__xludf.DUMMYFUNCTION("IMPORTRANGE(""https://docs.google.com/spreadsheets/d/11923uPwbBZFjjGgGUA6NLw09EwE0CqkOc4q9oUmW1yo/edit?usp=sharing"",""ตาก!I83"")"),4)</f>
        <v>4</v>
      </c>
      <c r="J158" s="188">
        <f ca="1">IFERROR(__xludf.DUMMYFUNCTION("IMPORTRANGE(""https://docs.google.com/spreadsheets/d/11923uPwbBZFjjGgGUA6NLw09EwE0CqkOc4q9oUmW1yo/edit?usp=sharing"",""ตาก!J83"")"),2)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IFERROR(__xludf.DUMMYFUNCTION("IMPORTRANGE(""https://docs.google.com/spreadsheets/d/11923uPwbBZFjjGgGUA6NLw09EwE0CqkOc4q9oUmW1yo/edit?usp=sharing"",""ตาก!J84"")"),44)</f>
        <v>44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IFERROR(__xludf.DUMMYFUNCTION("IMPORTRANGE(""https://docs.google.com/spreadsheets/d/11923uPwbBZFjjGgGUA6NLw09EwE0CqkOc4q9oUmW1yo/edit?usp=sharing"",""ตาก!J85"")"),44)</f>
        <v>44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IFERROR(__xludf.DUMMYFUNCTION("IMPORTRANGE(""https://docs.google.com/spreadsheets/d/11923uPwbBZFjjGgGUA6NLw09EwE0CqkOc4q9oUmW1yo/edit?usp=sharing"",""ตาก!J86"")"),0)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IFERROR(__xludf.DUMMYFUNCTION("IMPORTRANGE(""https://docs.google.com/spreadsheets/d/11923uPwbBZFjjGgGUA6NLw09EwE0CqkOc4q9oUmW1yo/edit?usp=sharing"",""ตาก!J87"")"),0)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IFERROR(__xludf.DUMMYFUNCTION("IMPORTRANGE(""https://docs.google.com/spreadsheets/d/11923uPwbBZFjjGgGUA6NLw09EwE0CqkOc4q9oUmW1yo/edit?usp=sharing"",""ตาก!J88"")"),0)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IFERROR(__xludf.DUMMYFUNCTION("IMPORTRANGE(""https://docs.google.com/spreadsheets/d/11923uPwbBZFjjGgGUA6NLw09EwE0CqkOc4q9oUmW1yo/edit?usp=sharing"",""ตาก!I89"")"),3)</f>
        <v>3</v>
      </c>
      <c r="J164" s="284">
        <f ca="1">IFERROR(__xludf.DUMMYFUNCTION("IMPORTRANGE(""https://docs.google.com/spreadsheets/d/11923uPwbBZFjjGgGUA6NLw09EwE0CqkOc4q9oUmW1yo/edit?usp=sharing"",""ตาก!J89"")"),3)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IFERROR(__xludf.DUMMYFUNCTION("IMPORTRANGE(""https://docs.google.com/spreadsheets/d/11923uPwbBZFjjGgGUA6NLw09EwE0CqkOc4q9oUmW1yo/edit?usp=sharing"",""ตาก!J94"")"),0)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IFERROR(__xludf.DUMMYFUNCTION("IMPORTRANGE(""https://docs.google.com/spreadsheets/d/11923uPwbBZFjjGgGUA6NLw09EwE0CqkOc4q9oUmW1yo/edit?usp=sharing"",""ตาก!J95"")"),1)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IFERROR(__xludf.DUMMYFUNCTION("IMPORTRANGE(""https://docs.google.com/spreadsheets/d/11923uPwbBZFjjGgGUA6NLw09EwE0CqkOc4q9oUmW1yo/edit?usp=sharing"",""ตาก!J96"")"),1)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IFERROR(__xludf.DUMMYFUNCTION("IMPORTRANGE(""https://docs.google.com/spreadsheets/d/11923uPwbBZFjjGgGUA6NLw09EwE0CqkOc4q9oUmW1yo/edit?usp=sharing"",""ตาก!J97"")"),1)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IFERROR(__xludf.DUMMYFUNCTION("IMPORTRANGE(""https://docs.google.com/spreadsheets/d/11923uPwbBZFjjGgGUA6NLw09EwE0CqkOc4q9oUmW1yo/edit?usp=sharing"",""ตาก!I98"")"),3)</f>
        <v>3</v>
      </c>
      <c r="J173" s="188">
        <f ca="1">IFERROR(__xludf.DUMMYFUNCTION("IMPORTRANGE(""https://docs.google.com/spreadsheets/d/11923uPwbBZFjjGgGUA6NLw09EwE0CqkOc4q9oUmW1yo/edit?usp=sharing"",""ตาก!J98"")"),3)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IFERROR(__xludf.DUMMYFUNCTION("IMPORTRANGE(""https://docs.google.com/spreadsheets/d/11923uPwbBZFjjGgGUA6NLw09EwE0CqkOc4q9oUmW1yo/edit?usp=sharing"",""ตาก!J99"")"),0)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IFERROR(__xludf.DUMMYFUNCTION("IMPORTRANGE(""https://docs.google.com/spreadsheets/d/11923uPwbBZFjjGgGUA6NLw09EwE0CqkOc4q9oUmW1yo/edit?usp=sharing"",""ตาก!J100"")"),0)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IFERROR(__xludf.DUMMYFUNCTION("IMPORTRANGE(""https://docs.google.com/spreadsheets/d/11923uPwbBZFjjGgGUA6NLw09EwE0CqkOc4q9oUmW1yo/edit?usp=sharing"",""ตาก!I101"")"),0)</f>
        <v>0</v>
      </c>
      <c r="J176" s="284">
        <f ca="1">IFERROR(__xludf.DUMMYFUNCTION("IMPORTRANGE(""https://docs.google.com/spreadsheets/d/11923uPwbBZFjjGgGUA6NLw09EwE0CqkOc4q9oUmW1yo/edit?usp=sharing"",""ตาก!J101"")"),0)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IFERROR(__xludf.DUMMYFUNCTION("IMPORTRANGE(""https://docs.google.com/spreadsheets/d/11923uPwbBZFjjGgGUA6NLw09EwE0CqkOc4q9oUmW1yo/edit?usp=sharing"",""ตาก!J106"")"),0)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IFERROR(__xludf.DUMMYFUNCTION("IMPORTRANGE(""https://docs.google.com/spreadsheets/d/11923uPwbBZFjjGgGUA6NLw09EwE0CqkOc4q9oUmW1yo/edit?usp=sharing"",""ตาก!J107"")"),0)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IFERROR(__xludf.DUMMYFUNCTION("IMPORTRANGE(""https://docs.google.com/spreadsheets/d/11923uPwbBZFjjGgGUA6NLw09EwE0CqkOc4q9oUmW1yo/edit?usp=sharing"",""ตาก!J108"")"),0)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IFERROR(__xludf.DUMMYFUNCTION("IMPORTRANGE(""https://docs.google.com/spreadsheets/d/11923uPwbBZFjjGgGUA6NLw09EwE0CqkOc4q9oUmW1yo/edit?usp=sharing"",""ตาก!J109"")"),0)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IFERROR(__xludf.DUMMYFUNCTION("IMPORTRANGE(""https://docs.google.com/spreadsheets/d/11923uPwbBZFjjGgGUA6NLw09EwE0CqkOc4q9oUmW1yo/edit?usp=sharing"",""ตาก!I110"")"),0)</f>
        <v>0</v>
      </c>
      <c r="J185" s="203">
        <f ca="1">IFERROR(__xludf.DUMMYFUNCTION("IMPORTRANGE(""https://docs.google.com/spreadsheets/d/11923uPwbBZFjjGgGUA6NLw09EwE0CqkOc4q9oUmW1yo/edit?usp=sharing"",""ตาก!J110"")"),0)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IFERROR(__xludf.DUMMYFUNCTION("IMPORTRANGE(""https://docs.google.com/spreadsheets/d/11923uPwbBZFjjGgGUA6NLw09EwE0CqkOc4q9oUmW1yo/edit?usp=sharing"",""ตาก!I111"")"),0)</f>
        <v>0</v>
      </c>
      <c r="J186" s="203">
        <f ca="1">IFERROR(__xludf.DUMMYFUNCTION("IMPORTRANGE(""https://docs.google.com/spreadsheets/d/11923uPwbBZFjjGgGUA6NLw09EwE0CqkOc4q9oUmW1yo/edit?usp=sharing"",""ตาก!J111"")"),0)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IFERROR(__xludf.DUMMYFUNCTION("IMPORTRANGE(""https://docs.google.com/spreadsheets/d/11923uPwbBZFjjGgGUA6NLw09EwE0CqkOc4q9oUmW1yo/edit?usp=sharing"",""ตาก!J112"")"),0)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IFERROR(__xludf.DUMMYFUNCTION("IMPORTRANGE(""https://docs.google.com/spreadsheets/d/11923uPwbBZFjjGgGUA6NLw09EwE0CqkOc4q9oUmW1yo/edit?usp=sharing"",""ตาก!J113"")"),0)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IFERROR(__xludf.DUMMYFUNCTION("IMPORTRANGE(""https://docs.google.com/spreadsheets/d/11923uPwbBZFjjGgGUA6NLw09EwE0CqkOc4q9oUmW1yo/edit?usp=sharing"",""ตาก!I114"")"),50000)</f>
        <v>50000</v>
      </c>
      <c r="J189" s="284">
        <f ca="1">IFERROR(__xludf.DUMMYFUNCTION("IMPORTRANGE(""https://docs.google.com/spreadsheets/d/11923uPwbBZFjjGgGUA6NLw09EwE0CqkOc4q9oUmW1yo/edit?usp=sharing"",""ตาก!J114"")"),0)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IFERROR(__xludf.DUMMYFUNCTION("IMPORTRANGE(""https://docs.google.com/spreadsheets/d/11923uPwbBZFjjGgGUA6NLw09EwE0CqkOc4q9oUmW1yo/edit?usp=sharing"",""ตาก!J119"")"),0)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IFERROR(__xludf.DUMMYFUNCTION("IMPORTRANGE(""https://docs.google.com/spreadsheets/d/11923uPwbBZFjjGgGUA6NLw09EwE0CqkOc4q9oUmW1yo/edit?usp=sharing"",""ตาก!J120"")"),1)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IFERROR(__xludf.DUMMYFUNCTION("IMPORTRANGE(""https://docs.google.com/spreadsheets/d/11923uPwbBZFjjGgGUA6NLw09EwE0CqkOc4q9oUmW1yo/edit?usp=sharing"",""ตาก!J121"")"),1)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IFERROR(__xludf.DUMMYFUNCTION("IMPORTRANGE(""https://docs.google.com/spreadsheets/d/11923uPwbBZFjjGgGUA6NLw09EwE0CqkOc4q9oUmW1yo/edit?usp=sharing"",""ตาก!J122"")"),1)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IFERROR(__xludf.DUMMYFUNCTION("IMPORTRANGE(""https://docs.google.com/spreadsheets/d/11923uPwbBZFjjGgGUA6NLw09EwE0CqkOc4q9oUmW1yo/edit?usp=sharing"",""ตาก!I124"")"),50000)</f>
        <v>50000</v>
      </c>
      <c r="J199" s="188">
        <f ca="1">IFERROR(__xludf.DUMMYFUNCTION("IMPORTRANGE(""https://docs.google.com/spreadsheets/d/11923uPwbBZFjjGgGUA6NLw09EwE0CqkOc4q9oUmW1yo/edit?usp=sharing"",""ตาก!J124"")"),50000)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IFERROR(__xludf.DUMMYFUNCTION("IMPORTRANGE(""https://docs.google.com/spreadsheets/d/11923uPwbBZFjjGgGUA6NLw09EwE0CqkOc4q9oUmW1yo/edit?usp=sharing"",""ตาก!I125"")"),50000)</f>
        <v>50000</v>
      </c>
      <c r="J200" s="188">
        <f ca="1">IFERROR(__xludf.DUMMYFUNCTION("IMPORTRANGE(""https://docs.google.com/spreadsheets/d/11923uPwbBZFjjGgGUA6NLw09EwE0CqkOc4q9oUmW1yo/edit?usp=sharing"",""ตาก!J125"")"),0)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IFERROR(__xludf.DUMMYFUNCTION("IMPORTRANGE(""https://docs.google.com/spreadsheets/d/11923uPwbBZFjjGgGUA6NLw09EwE0CqkOc4q9oUmW1yo/edit?usp=sharing"",""ตาก!I126"")"),0)</f>
        <v>0</v>
      </c>
      <c r="J201" s="188">
        <f ca="1">IFERROR(__xludf.DUMMYFUNCTION("IMPORTRANGE(""https://docs.google.com/spreadsheets/d/11923uPwbBZFjjGgGUA6NLw09EwE0CqkOc4q9oUmW1yo/edit?usp=sharing"",""ตาก!J126"")"),0)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IFERROR(__xludf.DUMMYFUNCTION("IMPORTRANGE(""https://docs.google.com/spreadsheets/d/11923uPwbBZFjjGgGUA6NLw09EwE0CqkOc4q9oUmW1yo/edit?usp=sharing"",""ตาก!J127"")"),0)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IFERROR(__xludf.DUMMYFUNCTION("IMPORTRANGE(""https://docs.google.com/spreadsheets/d/11923uPwbBZFjjGgGUA6NLw09EwE0CqkOc4q9oUmW1yo/edit?usp=sharing"",""ตาก!J128"")"),0)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IFERROR(__xludf.DUMMYFUNCTION("IMPORTRANGE(""https://docs.google.com/spreadsheets/d/11923uPwbBZFjjGgGUA6NLw09EwE0CqkOc4q9oUmW1yo/edit?usp=sharing"",""ตาก!I129"")"),0)</f>
        <v>0</v>
      </c>
      <c r="J204" s="284">
        <f ca="1">IFERROR(__xludf.DUMMYFUNCTION("IMPORTRANGE(""https://docs.google.com/spreadsheets/d/11923uPwbBZFjjGgGUA6NLw09EwE0CqkOc4q9oUmW1yo/edit?usp=sharing"",""ตาก!J129"")"),0)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IFERROR(__xludf.DUMMYFUNCTION("IMPORTRANGE(""https://docs.google.com/spreadsheets/d/11923uPwbBZFjjGgGUA6NLw09EwE0CqkOc4q9oUmW1yo/edit?usp=sharing"",""ตาก!J134"")"),0)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IFERROR(__xludf.DUMMYFUNCTION("IMPORTRANGE(""https://docs.google.com/spreadsheets/d/11923uPwbBZFjjGgGUA6NLw09EwE0CqkOc4q9oUmW1yo/edit?usp=sharing"",""ตาก!J135"")"),0)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IFERROR(__xludf.DUMMYFUNCTION("IMPORTRANGE(""https://docs.google.com/spreadsheets/d/11923uPwbBZFjjGgGUA6NLw09EwE0CqkOc4q9oUmW1yo/edit?usp=sharing"",""ตาก!J136"")"),0)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IFERROR(__xludf.DUMMYFUNCTION("IMPORTRANGE(""https://docs.google.com/spreadsheets/d/11923uPwbBZFjjGgGUA6NLw09EwE0CqkOc4q9oUmW1yo/edit?usp=sharing"",""ตาก!J137"")"),0)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IFERROR(__xludf.DUMMYFUNCTION("IMPORTRANGE(""https://docs.google.com/spreadsheets/d/11923uPwbBZFjjGgGUA6NLw09EwE0CqkOc4q9oUmW1yo/edit?usp=sharing"",""ตาก!I138"")"),0)</f>
        <v>0</v>
      </c>
      <c r="J213" s="203">
        <f ca="1">IFERROR(__xludf.DUMMYFUNCTION("IMPORTRANGE(""https://docs.google.com/spreadsheets/d/11923uPwbBZFjjGgGUA6NLw09EwE0CqkOc4q9oUmW1yo/edit?usp=sharing"",""ตาก!J138"")"),0)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IFERROR(__xludf.DUMMYFUNCTION("IMPORTRANGE(""https://docs.google.com/spreadsheets/d/11923uPwbBZFjjGgGUA6NLw09EwE0CqkOc4q9oUmW1yo/edit?usp=sharing"",""ตาก!I140"")"),0)</f>
        <v>0</v>
      </c>
      <c r="J215" s="203">
        <f ca="1">IFERROR(__xludf.DUMMYFUNCTION("IMPORTRANGE(""https://docs.google.com/spreadsheets/d/11923uPwbBZFjjGgGUA6NLw09EwE0CqkOc4q9oUmW1yo/edit?usp=sharing"",""ตาก!J140"")"),0)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IFERROR(__xludf.DUMMYFUNCTION("IMPORTRANGE(""https://docs.google.com/spreadsheets/d/11923uPwbBZFjjGgGUA6NLw09EwE0CqkOc4q9oUmW1yo/edit?usp=sharing"",""ตาก!I141"")"),0)</f>
        <v>0</v>
      </c>
      <c r="J216" s="203">
        <f ca="1">IFERROR(__xludf.DUMMYFUNCTION("IMPORTRANGE(""https://docs.google.com/spreadsheets/d/11923uPwbBZFjjGgGUA6NLw09EwE0CqkOc4q9oUmW1yo/edit?usp=sharing"",""ตาก!J141"")"),0)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IFERROR(__xludf.DUMMYFUNCTION("IMPORTRANGE(""https://docs.google.com/spreadsheets/d/11923uPwbBZFjjGgGUA6NLw09EwE0CqkOc4q9oUmW1yo/edit?usp=sharing"",""ตาก!J142"")"),0)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IFERROR(__xludf.DUMMYFUNCTION("IMPORTRANGE(""https://docs.google.com/spreadsheets/d/11923uPwbBZFjjGgGUA6NLw09EwE0CqkOc4q9oUmW1yo/edit?usp=sharing"",""ตาก!J143"")"),0)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IFERROR(__xludf.DUMMYFUNCTION("IMPORTRANGE(""https://docs.google.com/spreadsheets/d/11923uPwbBZFjjGgGUA6NLw09EwE0CqkOc4q9oUmW1yo/edit?usp=sharing"",""ตาก!I144"")"),14)</f>
        <v>14</v>
      </c>
      <c r="J219" s="267">
        <f ca="1">IFERROR(__xludf.DUMMYFUNCTION("IMPORTRANGE(""https://docs.google.com/spreadsheets/d/11923uPwbBZFjjGgGUA6NLw09EwE0CqkOc4q9oUmW1yo/edit?usp=sharing"",""ตาก!J144"")"),14)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IFERROR(__xludf.DUMMYFUNCTION("IMPORTRANGE(""https://docs.google.com/spreadsheets/d/1Yj_ptqi66GCucihVvJfMjLAmec39IyEx_6qawtMGysU/edit?usp=sharing"",""สบก!BS23"")"),20210)</f>
        <v>20210</v>
      </c>
      <c r="N224" s="168">
        <f ca="1">IFERROR(__xludf.DUMMYFUNCTION("IMPORTRANGE(""https://docs.google.com/spreadsheets/d/1Yj_ptqi66GCucihVvJfMjLAmec39IyEx_6qawtMGysU/edit?usp=sharing"",""สบก!BT23"")"),20210)</f>
        <v>20210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IFERROR(__xludf.DUMMYFUNCTION("IMPORTRANGE(""https://docs.google.com/spreadsheets/d/1Yj_ptqi66GCucihVvJfMjLAmec39IyEx_6qawtMGysU/edit?usp=sharing"",""สบก!BO23"")"),0)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IFERROR(__xludf.DUMMYFUNCTION("IMPORTRANGE(""https://docs.google.com/spreadsheets/d/1Yj_ptqi66GCucihVvJfMjLAmec39IyEx_6qawtMGysU/edit?usp=sharing"",""สบก!BP23"")"),20210)</f>
        <v>20210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IFERROR(__xludf.DUMMYFUNCTION("IMPORTRANGE(""https://docs.google.com/spreadsheets/d/1Yj_ptqi66GCucihVvJfMjLAmec39IyEx_6qawtMGysU/edit?usp=sharing"",""สบก!BQ23"")"),0)</f>
        <v>0</v>
      </c>
      <c r="M228" s="50"/>
      <c r="N228" s="50">
        <f ca="1">IFERROR(__xludf.DUMMYFUNCTION("IMPORTRANGE(""https://docs.google.com/spreadsheets/d/1Yj_ptqi66GCucihVvJfMjLAmec39IyEx_6qawtMGysU/edit?usp=sharing"",""สบก!BU23"")"),0)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IFERROR(__xludf.DUMMYFUNCTION("IMPORTRANGE(""https://docs.google.com/spreadsheets/d/11923uPwbBZFjjGgGUA6NLw09EwE0CqkOc4q9oUmW1yo/edit?usp=sharing"",""ตาก!I149"")"),14)</f>
        <v>14</v>
      </c>
      <c r="J229" s="267">
        <f ca="1">IFERROR(__xludf.DUMMYFUNCTION("IMPORTRANGE(""https://docs.google.com/spreadsheets/d/11923uPwbBZFjjGgGUA6NLw09EwE0CqkOc4q9oUmW1yo/edit?usp=sharing"",""ตาก!J149"")"),14)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IFERROR(__xludf.DUMMYFUNCTION("IMPORTRANGE(""https://docs.google.com/spreadsheets/d/11923uPwbBZFjjGgGUA6NLw09EwE0CqkOc4q9oUmW1yo/edit?usp=sharing"",""ตาก!J151"")"),0)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IFERROR(__xludf.DUMMYFUNCTION("IMPORTRANGE(""https://docs.google.com/spreadsheets/d/11923uPwbBZFjjGgGUA6NLw09EwE0CqkOc4q9oUmW1yo/edit?usp=sharing"",""ตาก!J152"")"),0)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IFERROR(__xludf.DUMMYFUNCTION("IMPORTRANGE(""https://docs.google.com/spreadsheets/d/11923uPwbBZFjjGgGUA6NLw09EwE0CqkOc4q9oUmW1yo/edit?usp=sharing"",""ตาก!J153"")"),1)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IFERROR(__xludf.DUMMYFUNCTION("IMPORTRANGE(""https://docs.google.com/spreadsheets/d/11923uPwbBZFjjGgGUA6NLw09EwE0CqkOc4q9oUmW1yo/edit?usp=sharing"",""ตาก!J154"")"),1)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IFERROR(__xludf.DUMMYFUNCTION("IMPORTRANGE(""https://docs.google.com/spreadsheets/d/11923uPwbBZFjjGgGUA6NLw09EwE0CqkOc4q9oUmW1yo/edit?usp=sharing"",""ตาก!I155"")"),14)</f>
        <v>14</v>
      </c>
      <c r="J235" s="188">
        <f ca="1">IFERROR(__xludf.DUMMYFUNCTION("IMPORTRANGE(""https://docs.google.com/spreadsheets/d/11923uPwbBZFjjGgGUA6NLw09EwE0CqkOc4q9oUmW1yo/edit?usp=sharing"",""ตาก!J155"")"),14)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IFERROR(__xludf.DUMMYFUNCTION("IMPORTRANGE(""https://docs.google.com/spreadsheets/d/11923uPwbBZFjjGgGUA6NLw09EwE0CqkOc4q9oUmW1yo/edit?usp=sharing"",""ตาก!J156"")"),1)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IFERROR(__xludf.DUMMYFUNCTION("IMPORTRANGE(""https://docs.google.com/spreadsheets/d/11923uPwbBZFjjGgGUA6NLw09EwE0CqkOc4q9oUmW1yo/edit?usp=sharing"",""ตาก!J157"")"),1)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IFERROR(__xludf.DUMMYFUNCTION("IMPORTRANGE(""https://docs.google.com/spreadsheets/d/11923uPwbBZFjjGgGUA6NLw09EwE0CqkOc4q9oUmW1yo/edit?usp=sharing"",""ตาก!I158"")"),0)</f>
        <v>0</v>
      </c>
      <c r="J238" s="267">
        <f ca="1">IFERROR(__xludf.DUMMYFUNCTION("IMPORTRANGE(""https://docs.google.com/spreadsheets/d/11923uPwbBZFjjGgGUA6NLw09EwE0CqkOc4q9oUmW1yo/edit?usp=sharing"",""ตาก!J158"")"),0)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IFERROR(__xludf.DUMMYFUNCTION("IMPORTRANGE(""https://docs.google.com/spreadsheets/d/11923uPwbBZFjjGgGUA6NLw09EwE0CqkOc4q9oUmW1yo/edit?usp=sharing"",""ตาก!J159"")"),"")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IFERROR(__xludf.DUMMYFUNCTION("IMPORTRANGE(""https://docs.google.com/spreadsheets/d/11923uPwbBZFjjGgGUA6NLw09EwE0CqkOc4q9oUmW1yo/edit?usp=sharing"",""ตาก!J161"")"),0)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IFERROR(__xludf.DUMMYFUNCTION("IMPORTRANGE(""https://docs.google.com/spreadsheets/d/11923uPwbBZFjjGgGUA6NLw09EwE0CqkOc4q9oUmW1yo/edit?usp=sharing"",""ตาก!J162"")"),0)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IFERROR(__xludf.DUMMYFUNCTION("IMPORTRANGE(""https://docs.google.com/spreadsheets/d/11923uPwbBZFjjGgGUA6NLw09EwE0CqkOc4q9oUmW1yo/edit?usp=sharing"",""ตาก!J163"")"),0)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IFERROR(__xludf.DUMMYFUNCTION("IMPORTRANGE(""https://docs.google.com/spreadsheets/d/11923uPwbBZFjjGgGUA6NLw09EwE0CqkOc4q9oUmW1yo/edit?usp=sharing"",""ตาก!I164"")"),0)</f>
        <v>0</v>
      </c>
      <c r="J244" s="187">
        <f ca="1">IFERROR(__xludf.DUMMYFUNCTION("IMPORTRANGE(""https://docs.google.com/spreadsheets/d/11923uPwbBZFjjGgGUA6NLw09EwE0CqkOc4q9oUmW1yo/edit?usp=sharing"",""ตาก!J164"")"),0)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IFERROR(__xludf.DUMMYFUNCTION("IMPORTRANGE(""https://docs.google.com/spreadsheets/d/11923uPwbBZFjjGgGUA6NLw09EwE0CqkOc4q9oUmW1yo/edit?usp=sharing"",""ตาก!J165"")"),0)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IFERROR(__xludf.DUMMYFUNCTION("IMPORTRANGE(""https://docs.google.com/spreadsheets/d/11923uPwbBZFjjGgGUA6NLw09EwE0CqkOc4q9oUmW1yo/edit?usp=sharing"",""ตาก!J166"")"),0)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IFERROR(__xludf.DUMMYFUNCTION("IMPORTRANGE(""https://docs.google.com/spreadsheets/d/11923uPwbBZFjjGgGUA6NLw09EwE0CqkOc4q9oUmW1yo/edit?usp=sharing"",""ตาก!I169"")"),0)</f>
        <v>0</v>
      </c>
      <c r="J249" s="316">
        <f ca="1">IFERROR(__xludf.DUMMYFUNCTION("IMPORTRANGE(""https://docs.google.com/spreadsheets/d/11923uPwbBZFjjGgGUA6NLw09EwE0CqkOc4q9oUmW1yo/edit?usp=sharing"",""ตาก!J169"")"),0)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IFERROR(__xludf.DUMMYFUNCTION("IMPORTRANGE(""https://docs.google.com/spreadsheets/d/1Yj_ptqi66GCucihVvJfMjLAmec39IyEx_6qawtMGysU/edit?usp=sharing"",""สบก!CB23"")"),0)</f>
        <v>0</v>
      </c>
      <c r="N254" s="168">
        <f ca="1">IFERROR(__xludf.DUMMYFUNCTION("IMPORTRANGE(""https://docs.google.com/spreadsheets/d/1Yj_ptqi66GCucihVvJfMjLAmec39IyEx_6qawtMGysU/edit?usp=sharing"",""สบก!CC23"")"),0)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IFERROR(__xludf.DUMMYFUNCTION("IMPORTRANGE(""https://docs.google.com/spreadsheets/d/1Yj_ptqi66GCucihVvJfMjLAmec39IyEx_6qawtMGysU/edit?usp=sharing"",""สบก!BX23"")"),0)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IFERROR(__xludf.DUMMYFUNCTION("IMPORTRANGE(""https://docs.google.com/spreadsheets/d/1Yj_ptqi66GCucihVvJfMjLAmec39IyEx_6qawtMGysU/edit?usp=sharing"",""สบก!BY23"")"),0)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IFERROR(__xludf.DUMMYFUNCTION("IMPORTRANGE(""https://docs.google.com/spreadsheets/d/1Yj_ptqi66GCucihVvJfMjLAmec39IyEx_6qawtMGysU/edit?usp=sharing"",""สบก!BZ23"")"),0)</f>
        <v>0</v>
      </c>
      <c r="M258" s="50"/>
      <c r="N258" s="50">
        <f ca="1">IFERROR(__xludf.DUMMYFUNCTION("IMPORTRANGE(""https://docs.google.com/spreadsheets/d/1Yj_ptqi66GCucihVvJfMjLAmec39IyEx_6qawtMGysU/edit?usp=sharing"",""สบก!CD23"")"),0)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IFERROR(__xludf.DUMMYFUNCTION("IMPORTRANGE(""https://docs.google.com/spreadsheets/d/11923uPwbBZFjjGgGUA6NLw09EwE0CqkOc4q9oUmW1yo/edit?usp=sharing"",""ตาก!J175"")"),0)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IFERROR(__xludf.DUMMYFUNCTION("IMPORTRANGE(""https://docs.google.com/spreadsheets/d/11923uPwbBZFjjGgGUA6NLw09EwE0CqkOc4q9oUmW1yo/edit?usp=sharing"",""ตาก!J176"")"),0)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IFERROR(__xludf.DUMMYFUNCTION("IMPORTRANGE(""https://docs.google.com/spreadsheets/d/11923uPwbBZFjjGgGUA6NLw09EwE0CqkOc4q9oUmW1yo/edit?usp=sharing"",""ตาก!J177"")"),0)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IFERROR(__xludf.DUMMYFUNCTION("IMPORTRANGE(""https://docs.google.com/spreadsheets/d/11923uPwbBZFjjGgGUA6NLw09EwE0CqkOc4q9oUmW1yo/edit?usp=sharing"",""ตาก!J178"")"),0)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IFERROR(__xludf.DUMMYFUNCTION("IMPORTRANGE(""https://docs.google.com/spreadsheets/d/11923uPwbBZFjjGgGUA6NLw09EwE0CqkOc4q9oUmW1yo/edit?usp=sharing"",""ตาก!I179"")"),0)</f>
        <v>0</v>
      </c>
      <c r="J264" s="188">
        <f ca="1">IFERROR(__xludf.DUMMYFUNCTION("IMPORTRANGE(""https://docs.google.com/spreadsheets/d/11923uPwbBZFjjGgGUA6NLw09EwE0CqkOc4q9oUmW1yo/edit?usp=sharing"",""ตาก!J179"")"),0)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IFERROR(__xludf.DUMMYFUNCTION("IMPORTRANGE(""https://docs.google.com/spreadsheets/d/11923uPwbBZFjjGgGUA6NLw09EwE0CqkOc4q9oUmW1yo/edit?usp=sharing"",""ตาก!I180"")"),0)</f>
        <v>0</v>
      </c>
      <c r="J265" s="188">
        <f ca="1">IFERROR(__xludf.DUMMYFUNCTION("IMPORTRANGE(""https://docs.google.com/spreadsheets/d/11923uPwbBZFjjGgGUA6NLw09EwE0CqkOc4q9oUmW1yo/edit?usp=sharing"",""ตาก!J180"")"),0)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IFERROR(__xludf.DUMMYFUNCTION("IMPORTRANGE(""https://docs.google.com/spreadsheets/d/11923uPwbBZFjjGgGUA6NLw09EwE0CqkOc4q9oUmW1yo/edit?usp=sharing"",""ตาก!I181"")"),0)</f>
        <v>0</v>
      </c>
      <c r="J266" s="188">
        <f ca="1">IFERROR(__xludf.DUMMYFUNCTION("IMPORTRANGE(""https://docs.google.com/spreadsheets/d/11923uPwbBZFjjGgGUA6NLw09EwE0CqkOc4q9oUmW1yo/edit?usp=sharing"",""ตาก!J181"")"),0)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IFERROR(__xludf.DUMMYFUNCTION("IMPORTRANGE(""https://docs.google.com/spreadsheets/d/11923uPwbBZFjjGgGUA6NLw09EwE0CqkOc4q9oUmW1yo/edit?usp=sharing"",""ตาก!I182"")"),0)</f>
        <v>0</v>
      </c>
      <c r="J267" s="188">
        <f ca="1">IFERROR(__xludf.DUMMYFUNCTION("IMPORTRANGE(""https://docs.google.com/spreadsheets/d/11923uPwbBZFjjGgGUA6NLw09EwE0CqkOc4q9oUmW1yo/edit?usp=sharing"",""ตาก!J182"")"),0)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IFERROR(__xludf.DUMMYFUNCTION("IMPORTRANGE(""https://docs.google.com/spreadsheets/d/11923uPwbBZFjjGgGUA6NLw09EwE0CqkOc4q9oUmW1yo/edit?usp=sharing"",""ตาก!J183"")"),0)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IFERROR(__xludf.DUMMYFUNCTION("IMPORTRANGE(""https://docs.google.com/spreadsheets/d/11923uPwbBZFjjGgGUA6NLw09EwE0CqkOc4q9oUmW1yo/edit?usp=sharing"",""ตาก!J184"")"),0)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IFERROR(__xludf.DUMMYFUNCTION("IMPORTRANGE(""https://docs.google.com/spreadsheets/d/11923uPwbBZFjjGgGUA6NLw09EwE0CqkOc4q9oUmW1yo/edit?usp=sharing"",""ตาก!I185"")"),20)</f>
        <v>20</v>
      </c>
      <c r="J270" s="316">
        <f ca="1">IFERROR(__xludf.DUMMYFUNCTION("IMPORTRANGE(""https://docs.google.com/spreadsheets/d/11923uPwbBZFjjGgGUA6NLw09EwE0CqkOc4q9oUmW1yo/edit?usp=sharing"",""ตาก!J185"")"),20)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337600</v>
      </c>
      <c r="M271" s="152">
        <f t="shared" ca="1" si="83"/>
        <v>236000</v>
      </c>
      <c r="N271" s="152">
        <f t="shared" ca="1" si="83"/>
        <v>187506</v>
      </c>
      <c r="O271" s="151">
        <f t="shared" ref="O271:O273" ca="1" si="84">IF(L271&gt;0,N271*100/L271,0)</f>
        <v>55.540876777251185</v>
      </c>
      <c r="P271" s="151">
        <f t="shared" ref="P271:P273" ca="1" si="85">IF(M271&gt;0,N271*100/M271,0)</f>
        <v>79.451694915254237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337600</v>
      </c>
      <c r="M273" s="88">
        <f t="shared" ca="1" si="87"/>
        <v>236000</v>
      </c>
      <c r="N273" s="88">
        <f t="shared" ca="1" si="87"/>
        <v>187506</v>
      </c>
      <c r="O273" s="156">
        <f t="shared" ca="1" si="84"/>
        <v>55.540876777251185</v>
      </c>
      <c r="P273" s="156">
        <f t="shared" ca="1" si="85"/>
        <v>79.451694915254237</v>
      </c>
    </row>
    <row r="274" spans="1:16" ht="21.75" customHeight="1" x14ac:dyDescent="0.45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337600</v>
      </c>
      <c r="M275" s="167">
        <f ca="1">IFERROR(__xludf.DUMMYFUNCTION("IMPORTRANGE(""https://docs.google.com/spreadsheets/d/1Yj_ptqi66GCucihVvJfMjLAmec39IyEx_6qawtMGysU/edit?usp=sharing"",""สบก!CK23"")"),236000)</f>
        <v>236000</v>
      </c>
      <c r="N275" s="168">
        <f ca="1">IFERROR(__xludf.DUMMYFUNCTION("IMPORTRANGE(""https://docs.google.com/spreadsheets/d/1Yj_ptqi66GCucihVvJfMjLAmec39IyEx_6qawtMGysU/edit?usp=sharing"",""สบก!CL23"")"),187506)</f>
        <v>187506</v>
      </c>
      <c r="O275" s="168">
        <f ca="1">IF(L275&gt;0,N275*100/L275,0)</f>
        <v>55.540876777251185</v>
      </c>
      <c r="P275" s="168">
        <f ca="1">IF(M275&gt;0,N275*100/M275,0)</f>
        <v>79.451694915254237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IFERROR(__xludf.DUMMYFUNCTION("IMPORTRANGE(""https://docs.google.com/spreadsheets/d/1Yj_ptqi66GCucihVvJfMjLAmec39IyEx_6qawtMGysU/edit?usp=sharing"",""สบก!CG23"")"),264000)</f>
        <v>264000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IFERROR(__xludf.DUMMYFUNCTION("IMPORTRANGE(""https://docs.google.com/spreadsheets/d/1Yj_ptqi66GCucihVvJfMjLAmec39IyEx_6qawtMGysU/edit?usp=sharing"",""สบก!CH23"")"),73600)</f>
        <v>73600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IFERROR(__xludf.DUMMYFUNCTION("IMPORTRANGE(""https://docs.google.com/spreadsheets/d/1Yj_ptqi66GCucihVvJfMjLAmec39IyEx_6qawtMGysU/edit?usp=sharing"",""สบก!CI23"")"),0)</f>
        <v>0</v>
      </c>
      <c r="M279" s="50"/>
      <c r="N279" s="50">
        <f ca="1">IFERROR(__xludf.DUMMYFUNCTION("IMPORTRANGE(""https://docs.google.com/spreadsheets/d/1Yj_ptqi66GCucihVvJfMjLAmec39IyEx_6qawtMGysU/edit?usp=sharing"",""สบก!CM23"")"),0)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IFERROR(__xludf.DUMMYFUNCTION("IMPORTRANGE(""https://docs.google.com/spreadsheets/d/11923uPwbBZFjjGgGUA6NLw09EwE0CqkOc4q9oUmW1yo/edit?usp=sharing"",""ตาก!J191"")"),0)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IFERROR(__xludf.DUMMYFUNCTION("IMPORTRANGE(""https://docs.google.com/spreadsheets/d/11923uPwbBZFjjGgGUA6NLw09EwE0CqkOc4q9oUmW1yo/edit?usp=sharing"",""ตาก!J192"")"),1)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IFERROR(__xludf.DUMMYFUNCTION("IMPORTRANGE(""https://docs.google.com/spreadsheets/d/11923uPwbBZFjjGgGUA6NLw09EwE0CqkOc4q9oUmW1yo/edit?usp=sharing"",""ตาก!J193"")"),1)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IFERROR(__xludf.DUMMYFUNCTION("IMPORTRANGE(""https://docs.google.com/spreadsheets/d/11923uPwbBZFjjGgGUA6NLw09EwE0CqkOc4q9oUmW1yo/edit?usp=sharing"",""ตาก!J194"")"),1)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IFERROR(__xludf.DUMMYFUNCTION("IMPORTRANGE(""https://docs.google.com/spreadsheets/d/11923uPwbBZFjjGgGUA6NLw09EwE0CqkOc4q9oUmW1yo/edit?usp=sharing"",""ตาก!I195"")"),20)</f>
        <v>20</v>
      </c>
      <c r="J285" s="188">
        <f ca="1">IFERROR(__xludf.DUMMYFUNCTION("IMPORTRANGE(""https://docs.google.com/spreadsheets/d/11923uPwbBZFjjGgGUA6NLw09EwE0CqkOc4q9oUmW1yo/edit?usp=sharing"",""ตาก!J195"")"),20)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IFERROR(__xludf.DUMMYFUNCTION("IMPORTRANGE(""https://docs.google.com/spreadsheets/d/11923uPwbBZFjjGgGUA6NLw09EwE0CqkOc4q9oUmW1yo/edit?usp=sharing"",""ตาก!J196"")"),0)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IFERROR(__xludf.DUMMYFUNCTION("IMPORTRANGE(""https://docs.google.com/spreadsheets/d/11923uPwbBZFjjGgGUA6NLw09EwE0CqkOc4q9oUmW1yo/edit?usp=sharing"",""ตาก!J197"")"),0)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IFERROR(__xludf.DUMMYFUNCTION("IMPORTRANGE(""https://docs.google.com/spreadsheets/d/11923uPwbBZFjjGgGUA6NLw09EwE0CqkOc4q9oUmW1yo/edit?usp=sharing"",""ตาก!I199"")"),0)</f>
        <v>0</v>
      </c>
      <c r="J289" s="316">
        <f ca="1">IFERROR(__xludf.DUMMYFUNCTION("IMPORTRANGE(""https://docs.google.com/spreadsheets/d/11923uPwbBZFjjGgGUA6NLw09EwE0CqkOc4q9oUmW1yo/edit?usp=sharing"",""ตาก!J199"")"),0)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IFERROR(__xludf.DUMMYFUNCTION("IMPORTRANGE(""https://docs.google.com/spreadsheets/d/1Yj_ptqi66GCucihVvJfMjLAmec39IyEx_6qawtMGysU/edit?usp=sharing"",""สบก!CT23"")"),0)</f>
        <v>0</v>
      </c>
      <c r="N294" s="168">
        <f ca="1">IFERROR(__xludf.DUMMYFUNCTION("IMPORTRANGE(""https://docs.google.com/spreadsheets/d/1Yj_ptqi66GCucihVvJfMjLAmec39IyEx_6qawtMGysU/edit?usp=sharing"",""สบก!CU23"")"),0)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IFERROR(__xludf.DUMMYFUNCTION("IMPORTRANGE(""https://docs.google.com/spreadsheets/d/1Yj_ptqi66GCucihVvJfMjLAmec39IyEx_6qawtMGysU/edit?usp=sharing"",""สบก!CP23"")"),0)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IFERROR(__xludf.DUMMYFUNCTION("IMPORTRANGE(""https://docs.google.com/spreadsheets/d/1Yj_ptqi66GCucihVvJfMjLAmec39IyEx_6qawtMGysU/edit?usp=sharing"",""สบก!CQ23"")"),0)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IFERROR(__xludf.DUMMYFUNCTION("IMPORTRANGE(""https://docs.google.com/spreadsheets/d/1Yj_ptqi66GCucihVvJfMjLAmec39IyEx_6qawtMGysU/edit?usp=sharing"",""สบก!CR23"")"),0)</f>
        <v>0</v>
      </c>
      <c r="M298" s="50"/>
      <c r="N298" s="50">
        <f ca="1">IFERROR(__xludf.DUMMYFUNCTION("IMPORTRANGE(""https://docs.google.com/spreadsheets/d/1Yj_ptqi66GCucihVvJfMjLAmec39IyEx_6qawtMGysU/edit?usp=sharing"",""สบก!CV23"")"),0)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IFERROR(__xludf.DUMMYFUNCTION("IMPORTRANGE(""https://docs.google.com/spreadsheets/d/11923uPwbBZFjjGgGUA6NLw09EwE0CqkOc4q9oUmW1yo/edit?usp=sharing"",""ตาก!J205"")"),0)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IFERROR(__xludf.DUMMYFUNCTION("IMPORTRANGE(""https://docs.google.com/spreadsheets/d/11923uPwbBZFjjGgGUA6NLw09EwE0CqkOc4q9oUmW1yo/edit?usp=sharing"",""ตาก!J206"")"),0)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IFERROR(__xludf.DUMMYFUNCTION("IMPORTRANGE(""https://docs.google.com/spreadsheets/d/11923uPwbBZFjjGgGUA6NLw09EwE0CqkOc4q9oUmW1yo/edit?usp=sharing"",""ตาก!J207"")"),0)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IFERROR(__xludf.DUMMYFUNCTION("IMPORTRANGE(""https://docs.google.com/spreadsheets/d/11923uPwbBZFjjGgGUA6NLw09EwE0CqkOc4q9oUmW1yo/edit?usp=sharing"",""ตาก!J208"")"),0)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IFERROR(__xludf.DUMMYFUNCTION("IMPORTRANGE(""https://docs.google.com/spreadsheets/d/11923uPwbBZFjjGgGUA6NLw09EwE0CqkOc4q9oUmW1yo/edit?usp=sharing"",""ตาก!I209"")"),0)</f>
        <v>0</v>
      </c>
      <c r="J304" s="203">
        <f ca="1">IFERROR(__xludf.DUMMYFUNCTION("IMPORTRANGE(""https://docs.google.com/spreadsheets/d/11923uPwbBZFjjGgGUA6NLw09EwE0CqkOc4q9oUmW1yo/edit?usp=sharing"",""ตาก!J209"")"),0)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IFERROR(__xludf.DUMMYFUNCTION("IMPORTRANGE(""https://docs.google.com/spreadsheets/d/11923uPwbBZFjjGgGUA6NLw09EwE0CqkOc4q9oUmW1yo/edit?usp=sharing"",""ตาก!I211"")"),0)</f>
        <v>0</v>
      </c>
      <c r="J306" s="203">
        <f ca="1">IFERROR(__xludf.DUMMYFUNCTION("IMPORTRANGE(""https://docs.google.com/spreadsheets/d/11923uPwbBZFjjGgGUA6NLw09EwE0CqkOc4q9oUmW1yo/edit?usp=sharing"",""ตาก!J211"")"),0)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IFERROR(__xludf.DUMMYFUNCTION("IMPORTRANGE(""https://docs.google.com/spreadsheets/d/11923uPwbBZFjjGgGUA6NLw09EwE0CqkOc4q9oUmW1yo/edit?usp=sharing"",""ตาก!J212"")"),0)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IFERROR(__xludf.DUMMYFUNCTION("IMPORTRANGE(""https://docs.google.com/spreadsheets/d/11923uPwbBZFjjGgGUA6NLw09EwE0CqkOc4q9oUmW1yo/edit?usp=sharing"",""ตาก!J213"")"),0)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IFERROR(__xludf.DUMMYFUNCTION("IMPORTRANGE(""https://docs.google.com/spreadsheets/d/11923uPwbBZFjjGgGUA6NLw09EwE0CqkOc4q9oUmW1yo/edit?usp=sharing"",""ตาก!I214"")"),0)</f>
        <v>0</v>
      </c>
      <c r="J309" s="333">
        <f ca="1">IFERROR(__xludf.DUMMYFUNCTION("IMPORTRANGE(""https://docs.google.com/spreadsheets/d/11923uPwbBZFjjGgGUA6NLw09EwE0CqkOc4q9oUmW1yo/edit?usp=sharing"",""ตาก!J214"")"),0)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IFERROR(__xludf.DUMMYFUNCTION("IMPORTRANGE(""https://docs.google.com/spreadsheets/d/1Yj_ptqi66GCucihVvJfMjLAmec39IyEx_6qawtMGysU/edit?usp=sharing"",""สบก!DC23"")"),0)</f>
        <v>0</v>
      </c>
      <c r="N314" s="168">
        <f ca="1">IFERROR(__xludf.DUMMYFUNCTION("IMPORTRANGE(""https://docs.google.com/spreadsheets/d/1Yj_ptqi66GCucihVvJfMjLAmec39IyEx_6qawtMGysU/edit?usp=sharing"",""สบก!DD23"")"),0)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IFERROR(__xludf.DUMMYFUNCTION("IMPORTRANGE(""https://docs.google.com/spreadsheets/d/1Yj_ptqi66GCucihVvJfMjLAmec39IyEx_6qawtMGysU/edit?usp=sharing"",""สบก!CY23"")"),0)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IFERROR(__xludf.DUMMYFUNCTION("IMPORTRANGE(""https://docs.google.com/spreadsheets/d/1Yj_ptqi66GCucihVvJfMjLAmec39IyEx_6qawtMGysU/edit?usp=sharing"",""สบก!CZ23"")"),0)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IFERROR(__xludf.DUMMYFUNCTION("IMPORTRANGE(""https://docs.google.com/spreadsheets/d/1Yj_ptqi66GCucihVvJfMjLAmec39IyEx_6qawtMGysU/edit?usp=sharing"",""สบก!DA23"")"),0)</f>
        <v>0</v>
      </c>
      <c r="M318" s="50"/>
      <c r="N318" s="50">
        <f ca="1">IFERROR(__xludf.DUMMYFUNCTION("IMPORTRANGE(""https://docs.google.com/spreadsheets/d/1Yj_ptqi66GCucihVvJfMjLAmec39IyEx_6qawtMGysU/edit?usp=sharing"",""สบก!DE23"")"),0)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IFERROR(__xludf.DUMMYFUNCTION("IMPORTRANGE(""https://docs.google.com/spreadsheets/d/11923uPwbBZFjjGgGUA6NLw09EwE0CqkOc4q9oUmW1yo/edit?usp=sharing"",""ตาก!J220"")"),0)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IFERROR(__xludf.DUMMYFUNCTION("IMPORTRANGE(""https://docs.google.com/spreadsheets/d/11923uPwbBZFjjGgGUA6NLw09EwE0CqkOc4q9oUmW1yo/edit?usp=sharing"",""ตาก!J221"")"),0)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IFERROR(__xludf.DUMMYFUNCTION("IMPORTRANGE(""https://docs.google.com/spreadsheets/d/11923uPwbBZFjjGgGUA6NLw09EwE0CqkOc4q9oUmW1yo/edit?usp=sharing"",""ตาก!J222"")"),0)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IFERROR(__xludf.DUMMYFUNCTION("IMPORTRANGE(""https://docs.google.com/spreadsheets/d/11923uPwbBZFjjGgGUA6NLw09EwE0CqkOc4q9oUmW1yo/edit?usp=sharing"",""ตาก!J223"")"),0)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IFERROR(__xludf.DUMMYFUNCTION("IMPORTRANGE(""https://docs.google.com/spreadsheets/d/11923uPwbBZFjjGgGUA6NLw09EwE0CqkOc4q9oUmW1yo/edit?usp=sharing"",""ตาก!I224"")"),0)</f>
        <v>0</v>
      </c>
      <c r="J324" s="203">
        <f ca="1">IFERROR(__xludf.DUMMYFUNCTION("IMPORTRANGE(""https://docs.google.com/spreadsheets/d/11923uPwbBZFjjGgGUA6NLw09EwE0CqkOc4q9oUmW1yo/edit?usp=sharing"",""ตาก!J224"")"),0)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IFERROR(__xludf.DUMMYFUNCTION("IMPORTRANGE(""https://docs.google.com/spreadsheets/d/11923uPwbBZFjjGgGUA6NLw09EwE0CqkOc4q9oUmW1yo/edit?usp=sharing"",""ตาก!J225"")"),0)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IFERROR(__xludf.DUMMYFUNCTION("IMPORTRANGE(""https://docs.google.com/spreadsheets/d/11923uPwbBZFjjGgGUA6NLw09EwE0CqkOc4q9oUmW1yo/edit?usp=sharing"",""ตาก!J226"")"),0)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IFERROR(__xludf.DUMMYFUNCTION("IMPORTRANGE(""https://docs.google.com/spreadsheets/d/11923uPwbBZFjjGgGUA6NLw09EwE0CqkOc4q9oUmW1yo/edit?usp=sharing"",""ตาก!I228"")"),330)</f>
        <v>330</v>
      </c>
      <c r="J328" s="339">
        <f ca="1">IFERROR(__xludf.DUMMYFUNCTION("IMPORTRANGE(""https://docs.google.com/spreadsheets/d/11923uPwbBZFjjGgGUA6NLw09EwE0CqkOc4q9oUmW1yo/edit?usp=sharing"",""ตาก!J228"")"),219)</f>
        <v>219</v>
      </c>
      <c r="K328" s="317">
        <f ca="1">IF(I328&gt;0,J328*100/I328,0)</f>
        <v>66.36363636363636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1089370</v>
      </c>
      <c r="M329" s="152">
        <f t="shared" ca="1" si="98"/>
        <v>906970</v>
      </c>
      <c r="N329" s="152">
        <f t="shared" ca="1" si="98"/>
        <v>766305.86</v>
      </c>
      <c r="O329" s="151">
        <f t="shared" ref="O329:O331" ca="1" si="99">IF(L329&gt;0,N329*100/L329,0)</f>
        <v>70.343947419150524</v>
      </c>
      <c r="P329" s="151">
        <f t="shared" ref="P329:P331" ca="1" si="100">IF(M329&gt;0,N329*100/M329,0)</f>
        <v>84.490761546688418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1089370</v>
      </c>
      <c r="M331" s="88">
        <f t="shared" ca="1" si="102"/>
        <v>906970</v>
      </c>
      <c r="N331" s="88">
        <f t="shared" ca="1" si="102"/>
        <v>766305.86</v>
      </c>
      <c r="O331" s="156">
        <f t="shared" ca="1" si="99"/>
        <v>70.343947419150524</v>
      </c>
      <c r="P331" s="156">
        <f t="shared" ca="1" si="100"/>
        <v>84.490761546688418</v>
      </c>
    </row>
    <row r="332" spans="1:16" ht="21.75" customHeight="1" x14ac:dyDescent="0.45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951150</v>
      </c>
      <c r="M333" s="167">
        <f ca="1">IFERROR(__xludf.DUMMYFUNCTION("IMPORTRANGE(""https://docs.google.com/spreadsheets/d/1Yj_ptqi66GCucihVvJfMjLAmec39IyEx_6qawtMGysU/edit?usp=sharing"",""สบก!DL23"")"),768750)</f>
        <v>768750</v>
      </c>
      <c r="N333" s="168">
        <f ca="1">IFERROR(__xludf.DUMMYFUNCTION("IMPORTRANGE(""https://docs.google.com/spreadsheets/d/1Yj_ptqi66GCucihVvJfMjLAmec39IyEx_6qawtMGysU/edit?usp=sharing"",""สบก!DM23"")"),628085.86)</f>
        <v>628085.86</v>
      </c>
      <c r="O333" s="168">
        <f ca="1">IF(L333&gt;0,N333*100/L333,0)</f>
        <v>66.034364716395942</v>
      </c>
      <c r="P333" s="168">
        <f ca="1">IF(M333&gt;0,N333*100/M333,0)</f>
        <v>81.70222569105691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IFERROR(__xludf.DUMMYFUNCTION("IMPORTRANGE(""https://docs.google.com/spreadsheets/d/1Yj_ptqi66GCucihVvJfMjLAmec39IyEx_6qawtMGysU/edit?usp=sharing"",""สบก!DH23"")"),496800)</f>
        <v>496800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IFERROR(__xludf.DUMMYFUNCTION("IMPORTRANGE(""https://docs.google.com/spreadsheets/d/1Yj_ptqi66GCucihVvJfMjLAmec39IyEx_6qawtMGysU/edit?usp=sharing"",""สบก!DI23"")"),454350)</f>
        <v>454350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IFERROR(__xludf.DUMMYFUNCTION("IMPORTRANGE(""https://docs.google.com/spreadsheets/d/1Yj_ptqi66GCucihVvJfMjLAmec39IyEx_6qawtMGysU/edit?usp=sharing"",""สบก!DJ23"")"),138220)</f>
        <v>138220</v>
      </c>
      <c r="M337" s="50">
        <f ca="1">L337</f>
        <v>138220</v>
      </c>
      <c r="N337" s="50">
        <f ca="1">IFERROR(__xludf.DUMMYFUNCTION("IMPORTRANGE(""https://docs.google.com/spreadsheets/d/1Yj_ptqi66GCucihVvJfMjLAmec39IyEx_6qawtMGysU/edit?usp=sharing"",""สบก!DN23"")"),138220)</f>
        <v>138220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IFERROR(__xludf.DUMMYFUNCTION("IMPORTRANGE(""https://docs.google.com/spreadsheets/d/11923uPwbBZFjjGgGUA6NLw09EwE0CqkOc4q9oUmW1yo/edit?usp=sharing"",""ตาก!I234"")"),0)</f>
        <v>0</v>
      </c>
      <c r="J339" s="187">
        <f ca="1">IFERROR(__xludf.DUMMYFUNCTION("IMPORTRANGE(""https://docs.google.com/spreadsheets/d/11923uPwbBZFjjGgGUA6NLw09EwE0CqkOc4q9oUmW1yo/edit?usp=sharing"",""ตาก!J234"")"),139)</f>
        <v>139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IFERROR(__xludf.DUMMYFUNCTION("IMPORTRANGE(""https://docs.google.com/spreadsheets/d/11923uPwbBZFjjGgGUA6NLw09EwE0CqkOc4q9oUmW1yo/edit?usp=sharing"",""ตาก!I235"")"),3000)</f>
        <v>3000</v>
      </c>
      <c r="J340" s="187">
        <f ca="1">IFERROR(__xludf.DUMMYFUNCTION("IMPORTRANGE(""https://docs.google.com/spreadsheets/d/11923uPwbBZFjjGgGUA6NLw09EwE0CqkOc4q9oUmW1yo/edit?usp=sharing"",""ตาก!J235"")"),975.54)</f>
        <v>975.54</v>
      </c>
      <c r="K340" s="342">
        <f t="shared" ca="1" si="103"/>
        <v>32.518000000000001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IFERROR(__xludf.DUMMYFUNCTION("IMPORTRANGE(""https://docs.google.com/spreadsheets/d/11923uPwbBZFjjGgGUA6NLw09EwE0CqkOc4q9oUmW1yo/edit?usp=sharing"",""ตาก!I236"")"),330)</f>
        <v>330</v>
      </c>
      <c r="J341" s="187">
        <f ca="1">IFERROR(__xludf.DUMMYFUNCTION("IMPORTRANGE(""https://docs.google.com/spreadsheets/d/11923uPwbBZFjjGgGUA6NLw09EwE0CqkOc4q9oUmW1yo/edit?usp=sharing"",""ตาก!J236"")"),258)</f>
        <v>258</v>
      </c>
      <c r="K341" s="342">
        <f t="shared" ca="1" si="103"/>
        <v>78.181818181818187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IFERROR(__xludf.DUMMYFUNCTION("IMPORTRANGE(""https://docs.google.com/spreadsheets/d/11923uPwbBZFjjGgGUA6NLw09EwE0CqkOc4q9oUmW1yo/edit?usp=sharing"",""ตาก!I237"")"),0)</f>
        <v>0</v>
      </c>
      <c r="J342" s="187">
        <f ca="1">IFERROR(__xludf.DUMMYFUNCTION("IMPORTRANGE(""https://docs.google.com/spreadsheets/d/11923uPwbBZFjjGgGUA6NLw09EwE0CqkOc4q9oUmW1yo/edit?usp=sharing"",""ตาก!J237"")"),3054.06)</f>
        <v>3054.06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IFERROR(__xludf.DUMMYFUNCTION("IMPORTRANGE(""https://docs.google.com/spreadsheets/d/11923uPwbBZFjjGgGUA6NLw09EwE0CqkOc4q9oUmW1yo/edit?usp=sharing"",""ตาก!I238"")"),330)</f>
        <v>330</v>
      </c>
      <c r="J343" s="187">
        <f ca="1">IFERROR(__xludf.DUMMYFUNCTION("IMPORTRANGE(""https://docs.google.com/spreadsheets/d/11923uPwbBZFjjGgGUA6NLw09EwE0CqkOc4q9oUmW1yo/edit?usp=sharing"",""ตาก!J238"")"),0)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IFERROR(__xludf.DUMMYFUNCTION("IMPORTRANGE(""https://docs.google.com/spreadsheets/d/11923uPwbBZFjjGgGUA6NLw09EwE0CqkOc4q9oUmW1yo/edit?usp=sharing"",""ตาก!I239"")"),0)</f>
        <v>0</v>
      </c>
      <c r="J344" s="187">
        <f ca="1">IFERROR(__xludf.DUMMYFUNCTION("IMPORTRANGE(""https://docs.google.com/spreadsheets/d/11923uPwbBZFjjGgGUA6NLw09EwE0CqkOc4q9oUmW1yo/edit?usp=sharing"",""ตาก!J239"")"),0)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IFERROR(__xludf.DUMMYFUNCTION("IMPORTRANGE(""https://docs.google.com/spreadsheets/d/11923uPwbBZFjjGgGUA6NLw09EwE0CqkOc4q9oUmW1yo/edit?usp=sharing"",""ตาก!I240"")"),330)</f>
        <v>330</v>
      </c>
      <c r="J345" s="187">
        <f ca="1">IFERROR(__xludf.DUMMYFUNCTION("IMPORTRANGE(""https://docs.google.com/spreadsheets/d/11923uPwbBZFjjGgGUA6NLw09EwE0CqkOc4q9oUmW1yo/edit?usp=sharing"",""ตาก!J240"")"),219)</f>
        <v>219</v>
      </c>
      <c r="K345" s="342">
        <f t="shared" ca="1" si="103"/>
        <v>66.36363636363636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IFERROR(__xludf.DUMMYFUNCTION("IMPORTRANGE(""https://docs.google.com/spreadsheets/d/11923uPwbBZFjjGgGUA6NLw09EwE0CqkOc4q9oUmW1yo/edit?usp=sharing"",""ตาก!I241"")"),0)</f>
        <v>0</v>
      </c>
      <c r="J346" s="187">
        <f ca="1">IFERROR(__xludf.DUMMYFUNCTION("IMPORTRANGE(""https://docs.google.com/spreadsheets/d/11923uPwbBZFjjGgGUA6NLw09EwE0CqkOc4q9oUmW1yo/edit?usp=sharing"",""ตาก!J241"")"),2885.02)</f>
        <v>2885.02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IFERROR(__xludf.DUMMYFUNCTION("IMPORTRANGE(""https://docs.google.com/spreadsheets/d/11923uPwbBZFjjGgGUA6NLw09EwE0CqkOc4q9oUmW1yo/edit?usp=sharing"",""ตาก!L242"")"),1793228)</f>
        <v>1793228</v>
      </c>
      <c r="M347" s="357"/>
      <c r="N347" s="357">
        <f ca="1">IFERROR(__xludf.DUMMYFUNCTION("IMPORTRANGE(""https://docs.google.com/spreadsheets/d/11923uPwbBZFjjGgGUA6NLw09EwE0CqkOc4q9oUmW1yo/edit?usp=sharing"",""ตาก!M242"")"),1226209.5)</f>
        <v>1226209.5</v>
      </c>
      <c r="O347" s="357">
        <f ca="1">+IF(L347&gt;0,N347*100/L347,0)</f>
        <v>68.380010796173153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IFERROR(__xludf.DUMMYFUNCTION("IMPORTRANGE(""https://docs.google.com/spreadsheets/d/11923uPwbBZFjjGgGUA6NLw09EwE0CqkOc4q9oUmW1yo/edit?usp=sharing"",""ตาก!I244"")"),0)</f>
        <v>0</v>
      </c>
      <c r="J349" s="370">
        <f ca="1">IFERROR(__xludf.DUMMYFUNCTION("IMPORTRANGE(""https://docs.google.com/spreadsheets/d/11923uPwbBZFjjGgGUA6NLw09EwE0CqkOc4q9oUmW1yo/edit?usp=sharing"",""ตาก!J244"")"),0)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IFERROR(__xludf.DUMMYFUNCTION("IMPORTRANGE(""https://docs.google.com/spreadsheets/d/11923uPwbBZFjjGgGUA6NLw09EwE0CqkOc4q9oUmW1yo/edit?usp=sharing"",""ตาก!L244"")"),0)</f>
        <v>0</v>
      </c>
      <c r="M349" s="372"/>
      <c r="N349" s="372">
        <f ca="1">IFERROR(__xludf.DUMMYFUNCTION("IMPORTRANGE(""https://docs.google.com/spreadsheets/d/11923uPwbBZFjjGgGUA6NLw09EwE0CqkOc4q9oUmW1yo/edit?usp=sharing"",""ตาก!M244"")"),0)</f>
        <v>0</v>
      </c>
      <c r="O349" s="372">
        <f ca="1">+IF(L349&gt;0,N349*100/L349,0)</f>
        <v>0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IFERROR(__xludf.DUMMYFUNCTION("IMPORTRANGE(""https://docs.google.com/spreadsheets/d/11923uPwbBZFjjGgGUA6NLw09EwE0CqkOc4q9oUmW1yo/edit?usp=sharing"",""ตาก!I245"")"),0)</f>
        <v>0</v>
      </c>
      <c r="J350" s="370">
        <f ca="1">IFERROR(__xludf.DUMMYFUNCTION("IMPORTRANGE(""https://docs.google.com/spreadsheets/d/11923uPwbBZFjjGgGUA6NLw09EwE0CqkOc4q9oUmW1yo/edit?usp=sharing"",""ตาก!J245"")"),0)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IFERROR(__xludf.DUMMYFUNCTION("IMPORTRANGE(""https://docs.google.com/spreadsheets/d/11923uPwbBZFjjGgGUA6NLw09EwE0CqkOc4q9oUmW1yo/edit?usp=sharing"",""ตาก!L246"")"),0)</f>
        <v>0</v>
      </c>
      <c r="M351" s="164"/>
      <c r="N351" s="164">
        <f ca="1">IFERROR(__xludf.DUMMYFUNCTION("IMPORTRANGE(""https://docs.google.com/spreadsheets/d/11923uPwbBZFjjGgGUA6NLw09EwE0CqkOc4q9oUmW1yo/edit?usp=sharing"",""ตาก!M246"")"),0)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IFERROR(__xludf.DUMMYFUNCTION("IMPORTRANGE(""https://docs.google.com/spreadsheets/d/11923uPwbBZFjjGgGUA6NLw09EwE0CqkOc4q9oUmW1yo/edit?usp=sharing"",""ตาก!L247"")"),0)</f>
        <v>0</v>
      </c>
      <c r="M352" s="165"/>
      <c r="N352" s="164">
        <f ca="1">IFERROR(__xludf.DUMMYFUNCTION("IMPORTRANGE(""https://docs.google.com/spreadsheets/d/11923uPwbBZFjjGgGUA6NLw09EwE0CqkOc4q9oUmW1yo/edit?usp=sharing"",""ตาก!M247"")"),0)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IFERROR(__xludf.DUMMYFUNCTION("IMPORTRANGE(""https://docs.google.com/spreadsheets/d/11923uPwbBZFjjGgGUA6NLw09EwE0CqkOc4q9oUmW1yo/edit?usp=sharing"",""ตาก!L248"")"),0)</f>
        <v>0</v>
      </c>
      <c r="M353" s="168"/>
      <c r="N353" s="168">
        <f ca="1">IFERROR(__xludf.DUMMYFUNCTION("IMPORTRANGE(""https://docs.google.com/spreadsheets/d/11923uPwbBZFjjGgGUA6NLw09EwE0CqkOc4q9oUmW1yo/edit?usp=sharing"",""ตาก!M248"")"),0)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IFERROR(__xludf.DUMMYFUNCTION("IMPORTRANGE(""https://docs.google.com/spreadsheets/d/11923uPwbBZFjjGgGUA6NLw09EwE0CqkOc4q9oUmW1yo/edit?usp=sharing"",""ตาก!L249"")"),0)</f>
        <v>0</v>
      </c>
      <c r="M354" s="168"/>
      <c r="N354" s="167">
        <f ca="1">IFERROR(__xludf.DUMMYFUNCTION("IMPORTRANGE(""https://docs.google.com/spreadsheets/d/11923uPwbBZFjjGgGUA6NLw09EwE0CqkOc4q9oUmW1yo/edit?usp=sharing"",""ตาก!M249"")"),0)</f>
        <v>0</v>
      </c>
      <c r="O354" s="168">
        <f t="shared" ca="1" si="105"/>
        <v>0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IFERROR(__xludf.DUMMYFUNCTION("IMPORTRANGE(""https://docs.google.com/spreadsheets/d/11923uPwbBZFjjGgGUA6NLw09EwE0CqkOc4q9oUmW1yo/edit?usp=sharing"",""ตาก!M250"")"),0)</f>
        <v>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IFERROR(__xludf.DUMMYFUNCTION("IMPORTRANGE(""https://docs.google.com/spreadsheets/d/11923uPwbBZFjjGgGUA6NLw09EwE0CqkOc4q9oUmW1yo/edit?usp=sharing"",""ตาก!M251"")"),0)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IFERROR(__xludf.DUMMYFUNCTION("IMPORTRANGE(""https://docs.google.com/spreadsheets/d/11923uPwbBZFjjGgGUA6NLw09EwE0CqkOc4q9oUmW1yo/edit?usp=sharing"",""ตาก!M252"")"),0)</f>
        <v>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IFERROR(__xludf.DUMMYFUNCTION("IMPORTRANGE(""https://docs.google.com/spreadsheets/d/11923uPwbBZFjjGgGUA6NLw09EwE0CqkOc4q9oUmW1yo/edit?usp=sharing"",""ตาก!M253"")"),0)</f>
        <v>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IFERROR(__xludf.DUMMYFUNCTION("IMPORTRANGE(""https://docs.google.com/spreadsheets/d/11923uPwbBZFjjGgGUA6NLw09EwE0CqkOc4q9oUmW1yo/edit?usp=sharing"",""ตาก!J255"")"),0)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IFERROR(__xludf.DUMMYFUNCTION("IMPORTRANGE(""https://docs.google.com/spreadsheets/d/11923uPwbBZFjjGgGUA6NLw09EwE0CqkOc4q9oUmW1yo/edit?usp=sharing"",""ตาก!J256"")"),0)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IFERROR(__xludf.DUMMYFUNCTION("IMPORTRANGE(""https://docs.google.com/spreadsheets/d/11923uPwbBZFjjGgGUA6NLw09EwE0CqkOc4q9oUmW1yo/edit?usp=sharing"",""ตาก!J257"")"),0)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IFERROR(__xludf.DUMMYFUNCTION("IMPORTRANGE(""https://docs.google.com/spreadsheets/d/11923uPwbBZFjjGgGUA6NLw09EwE0CqkOc4q9oUmW1yo/edit?usp=sharing"",""ตาก!J258"")"),0)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IFERROR(__xludf.DUMMYFUNCTION("IMPORTRANGE(""https://docs.google.com/spreadsheets/d/11923uPwbBZFjjGgGUA6NLw09EwE0CqkOc4q9oUmW1yo/edit?usp=sharing"",""ตาก!J166"")"),0)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IFERROR(__xludf.DUMMYFUNCTION("IMPORTRANGE(""https://docs.google.com/spreadsheets/d/11923uPwbBZFjjGgGUA6NLw09EwE0CqkOc4q9oUmW1yo/edit?usp=sharing"",""ตาก!J166"")"),0)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IFERROR(__xludf.DUMMYFUNCTION("IMPORTRANGE(""https://docs.google.com/spreadsheets/d/11923uPwbBZFjjGgGUA6NLw09EwE0CqkOc4q9oUmW1yo/edit?usp=sharing"",""ตาก!J166"")"),0)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IFERROR(__xludf.DUMMYFUNCTION("IMPORTRANGE(""https://docs.google.com/spreadsheets/d/11923uPwbBZFjjGgGUA6NLw09EwE0CqkOc4q9oUmW1yo/edit?usp=sharing"",""ตาก!J166"")"),0)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IFERROR(__xludf.DUMMYFUNCTION("IMPORTRANGE(""https://docs.google.com/spreadsheets/d/11923uPwbBZFjjGgGUA6NLw09EwE0CqkOc4q9oUmW1yo/edit?usp=sharing"",""ตาก!I263"")"),0)</f>
        <v>0</v>
      </c>
      <c r="J368" s="187">
        <f ca="1">IFERROR(__xludf.DUMMYFUNCTION("IMPORTRANGE(""https://docs.google.com/spreadsheets/d/11923uPwbBZFjjGgGUA6NLw09EwE0CqkOc4q9oUmW1yo/edit?usp=sharing"",""ตาก!J263"")"),0)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IFERROR(__xludf.DUMMYFUNCTION("IMPORTRANGE(""https://docs.google.com/spreadsheets/d/11923uPwbBZFjjGgGUA6NLw09EwE0CqkOc4q9oUmW1yo/edit?usp=sharing"",""ตาก!I164"")"),0)</f>
        <v>0</v>
      </c>
      <c r="J369" s="203">
        <f ca="1">IFERROR(__xludf.DUMMYFUNCTION("IMPORTRANGE(""https://docs.google.com/spreadsheets/d/11923uPwbBZFjjGgGUA6NLw09EwE0CqkOc4q9oUmW1yo/edit?usp=sharing"",""ตาก!J164"")"),0)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IFERROR(__xludf.DUMMYFUNCTION("IMPORTRANGE(""https://docs.google.com/spreadsheets/d/11923uPwbBZFjjGgGUA6NLw09EwE0CqkOc4q9oUmW1yo/edit?usp=sharing"",""ตาก!I265"")"),0)</f>
        <v>0</v>
      </c>
      <c r="J370" s="203">
        <f ca="1">IFERROR(__xludf.DUMMYFUNCTION("IMPORTRANGE(""https://docs.google.com/spreadsheets/d/11923uPwbBZFjjGgGUA6NLw09EwE0CqkOc4q9oUmW1yo/edit?usp=sharing"",""ตาก!J265"")"),0)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IFERROR(__xludf.DUMMYFUNCTION("IMPORTRANGE(""https://docs.google.com/spreadsheets/d/11923uPwbBZFjjGgGUA6NLw09EwE0CqkOc4q9oUmW1yo/edit?usp=sharing"",""ตาก!I164"")"),0)</f>
        <v>0</v>
      </c>
      <c r="J371" s="188">
        <f ca="1">IFERROR(__xludf.DUMMYFUNCTION("IMPORTRANGE(""https://docs.google.com/spreadsheets/d/11923uPwbBZFjjGgGUA6NLw09EwE0CqkOc4q9oUmW1yo/edit?usp=sharing"",""ตาก!J164"")"),0)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IFERROR(__xludf.DUMMYFUNCTION("IMPORTRANGE(""https://docs.google.com/spreadsheets/d/11923uPwbBZFjjGgGUA6NLw09EwE0CqkOc4q9oUmW1yo/edit?usp=sharing"",""ตาก!I267"")"),0)</f>
        <v>0</v>
      </c>
      <c r="J372" s="188">
        <f ca="1">IFERROR(__xludf.DUMMYFUNCTION("IMPORTRANGE(""https://docs.google.com/spreadsheets/d/11923uPwbBZFjjGgGUA6NLw09EwE0CqkOc4q9oUmW1yo/edit?usp=sharing"",""ตาก!J267"")"),0)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IFERROR(__xludf.DUMMYFUNCTION("IMPORTRANGE(""https://docs.google.com/spreadsheets/d/11923uPwbBZFjjGgGUA6NLw09EwE0CqkOc4q9oUmW1yo/edit?usp=sharing"",""ตาก!I164"")"),0)</f>
        <v>0</v>
      </c>
      <c r="J373" s="203">
        <f ca="1">IFERROR(__xludf.DUMMYFUNCTION("IMPORTRANGE(""https://docs.google.com/spreadsheets/d/11923uPwbBZFjjGgGUA6NLw09EwE0CqkOc4q9oUmW1yo/edit?usp=sharing"",""ตาก!J164"")"),0)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IFERROR(__xludf.DUMMYFUNCTION("IMPORTRANGE(""https://docs.google.com/spreadsheets/d/11923uPwbBZFjjGgGUA6NLw09EwE0CqkOc4q9oUmW1yo/edit?usp=sharing"",""ตาก!I164"")"),0)</f>
        <v>0</v>
      </c>
      <c r="J374" s="187">
        <f ca="1">IFERROR(__xludf.DUMMYFUNCTION("IMPORTRANGE(""https://docs.google.com/spreadsheets/d/11923uPwbBZFjjGgGUA6NLw09EwE0CqkOc4q9oUmW1yo/edit?usp=sharing"",""ตาก!J164"")"),0)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IFERROR(__xludf.DUMMYFUNCTION("IMPORTRANGE(""https://docs.google.com/spreadsheets/d/11923uPwbBZFjjGgGUA6NLw09EwE0CqkOc4q9oUmW1yo/edit?usp=sharing"",""ตาก!I270"")"),0)</f>
        <v>0</v>
      </c>
      <c r="J375" s="187">
        <f ca="1">IFERROR(__xludf.DUMMYFUNCTION("IMPORTRANGE(""https://docs.google.com/spreadsheets/d/11923uPwbBZFjjGgGUA6NLw09EwE0CqkOc4q9oUmW1yo/edit?usp=sharing"",""ตาก!J270"")"),0)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IFERROR(__xludf.DUMMYFUNCTION("IMPORTRANGE(""https://docs.google.com/spreadsheets/d/11923uPwbBZFjjGgGUA6NLw09EwE0CqkOc4q9oUmW1yo/edit?usp=sharing"",""ตาก!I271"")"),0)</f>
        <v>0</v>
      </c>
      <c r="J376" s="188">
        <f ca="1">IFERROR(__xludf.DUMMYFUNCTION("IMPORTRANGE(""https://docs.google.com/spreadsheets/d/11923uPwbBZFjjGgGUA6NLw09EwE0CqkOc4q9oUmW1yo/edit?usp=sharing"",""ตาก!J271"")"),0)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IFERROR(__xludf.DUMMYFUNCTION("IMPORTRANGE(""https://docs.google.com/spreadsheets/d/11923uPwbBZFjjGgGUA6NLw09EwE0CqkOc4q9oUmW1yo/edit?usp=sharing"",""ตาก!I272"")"),0)</f>
        <v>0</v>
      </c>
      <c r="J377" s="203">
        <f ca="1">IFERROR(__xludf.DUMMYFUNCTION("IMPORTRANGE(""https://docs.google.com/spreadsheets/d/11923uPwbBZFjjGgGUA6NLw09EwE0CqkOc4q9oUmW1yo/edit?usp=sharing"",""ตาก!J272"")"),0)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IFERROR(__xludf.DUMMYFUNCTION("IMPORTRANGE(""https://docs.google.com/spreadsheets/d/11923uPwbBZFjjGgGUA6NLw09EwE0CqkOc4q9oUmW1yo/edit?usp=sharing"",""ตาก!J273"")"),0)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IFERROR(__xludf.DUMMYFUNCTION("IMPORTRANGE(""https://docs.google.com/spreadsheets/d/11923uPwbBZFjjGgGUA6NLw09EwE0CqkOc4q9oUmW1yo/edit?usp=sharing"",""ตาก!J274"")"),0)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IFERROR(__xludf.DUMMYFUNCTION("IMPORTRANGE(""https://docs.google.com/spreadsheets/d/11923uPwbBZFjjGgGUA6NLw09EwE0CqkOc4q9oUmW1yo/edit?usp=sharing"",""ตาก!I275"")"),500)</f>
        <v>500</v>
      </c>
      <c r="J380" s="370">
        <f ca="1">IFERROR(__xludf.DUMMYFUNCTION("IMPORTRANGE(""https://docs.google.com/spreadsheets/d/11923uPwbBZFjjGgGUA6NLw09EwE0CqkOc4q9oUmW1yo/edit?usp=sharing"",""ตาก!J275"")"),500)</f>
        <v>500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IFERROR(__xludf.DUMMYFUNCTION("IMPORTRANGE(""https://docs.google.com/spreadsheets/d/11923uPwbBZFjjGgGUA6NLw09EwE0CqkOc4q9oUmW1yo/edit?usp=sharing"",""ตาก!L275"")"),460140)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IFERROR(__xludf.DUMMYFUNCTION("IMPORTRANGE(""https://docs.google.com/spreadsheets/d/11923uPwbBZFjjGgGUA6NLw09EwE0CqkOc4q9oUmW1yo/edit?usp=sharing"",""ตาก!M275"")"),448060)</f>
        <v>448060</v>
      </c>
      <c r="O380" s="372">
        <f ca="1">+IF(L380&gt;0,N380*100/L380,0)</f>
        <v>97.374712044160475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IFERROR(__xludf.DUMMYFUNCTION("IMPORTRANGE(""https://docs.google.com/spreadsheets/d/11923uPwbBZFjjGgGUA6NLw09EwE0CqkOc4q9oUmW1yo/edit?usp=sharing"",""ตาก!I276"")"),50)</f>
        <v>50</v>
      </c>
      <c r="J381" s="370">
        <f ca="1">IFERROR(__xludf.DUMMYFUNCTION("IMPORTRANGE(""https://docs.google.com/spreadsheets/d/11923uPwbBZFjjGgGUA6NLw09EwE0CqkOc4q9oUmW1yo/edit?usp=sharing"",""ตาก!J276"")"),50)</f>
        <v>50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IFERROR(__xludf.DUMMYFUNCTION("IMPORTRANGE(""https://docs.google.com/spreadsheets/d/11923uPwbBZFjjGgGUA6NLw09EwE0CqkOc4q9oUmW1yo/edit?usp=sharing"",""ตาก!L277"")"),0)</f>
        <v>0</v>
      </c>
      <c r="M382" s="164"/>
      <c r="N382" s="164">
        <f ca="1">IFERROR(__xludf.DUMMYFUNCTION("IMPORTRANGE(""https://docs.google.com/spreadsheets/d/11923uPwbBZFjjGgGUA6NLw09EwE0CqkOc4q9oUmW1yo/edit?usp=sharing"",""ตาก!M277"")"),0)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IFERROR(__xludf.DUMMYFUNCTION("IMPORTRANGE(""https://docs.google.com/spreadsheets/d/11923uPwbBZFjjGgGUA6NLw09EwE0CqkOc4q9oUmW1yo/edit?usp=sharing"",""ตาก!L278"")"),460140)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IFERROR(__xludf.DUMMYFUNCTION("IMPORTRANGE(""https://docs.google.com/spreadsheets/d/11923uPwbBZFjjGgGUA6NLw09EwE0CqkOc4q9oUmW1yo/edit?usp=sharing"",""ตาก!M278"")"),448060)</f>
        <v>448060</v>
      </c>
      <c r="O383" s="165">
        <f t="shared" ca="1" si="109"/>
        <v>97.374712044160475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IFERROR(__xludf.DUMMYFUNCTION("IMPORTRANGE(""https://docs.google.com/spreadsheets/d/11923uPwbBZFjjGgGUA6NLw09EwE0CqkOc4q9oUmW1yo/edit?usp=sharing"",""ตาก!L279"")"),0)</f>
        <v>0</v>
      </c>
      <c r="M384" s="168"/>
      <c r="N384" s="168">
        <f ca="1">IFERROR(__xludf.DUMMYFUNCTION("IMPORTRANGE(""https://docs.google.com/spreadsheets/d/11923uPwbBZFjjGgGUA6NLw09EwE0CqkOc4q9oUmW1yo/edit?usp=sharing"",""ตาก!M279"")"),0)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IFERROR(__xludf.DUMMYFUNCTION("IMPORTRANGE(""https://docs.google.com/spreadsheets/d/11923uPwbBZFjjGgGUA6NLw09EwE0CqkOc4q9oUmW1yo/edit?usp=sharing"",""ตาก!L280"")"),460140)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IFERROR(__xludf.DUMMYFUNCTION("IMPORTRANGE(""https://docs.google.com/spreadsheets/d/11923uPwbBZFjjGgGUA6NLw09EwE0CqkOc4q9oUmW1yo/edit?usp=sharing"",""ตาก!M280"")"),448060)</f>
        <v>448060</v>
      </c>
      <c r="O385" s="168">
        <f t="shared" ca="1" si="109"/>
        <v>97.374712044160475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IFERROR(__xludf.DUMMYFUNCTION("IMPORTRANGE(""https://docs.google.com/spreadsheets/d/11923uPwbBZFjjGgGUA6NLw09EwE0CqkOc4q9oUmW1yo/edit?usp=sharing"",""ตาก!M281"")"),98920)</f>
        <v>98920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IFERROR(__xludf.DUMMYFUNCTION("IMPORTRANGE(""https://docs.google.com/spreadsheets/d/11923uPwbBZFjjGgGUA6NLw09EwE0CqkOc4q9oUmW1yo/edit?usp=sharing"",""ตาก!M282"")"),312500)</f>
        <v>312500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IFERROR(__xludf.DUMMYFUNCTION("IMPORTRANGE(""https://docs.google.com/spreadsheets/d/11923uPwbBZFjjGgGUA6NLw09EwE0CqkOc4q9oUmW1yo/edit?usp=sharing"",""ตาก!M283"")"),0)</f>
        <v>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IFERROR(__xludf.DUMMYFUNCTION("IMPORTRANGE(""https://docs.google.com/spreadsheets/d/11923uPwbBZFjjGgGUA6NLw09EwE0CqkOc4q9oUmW1yo/edit?usp=sharing"",""ตาก!M284"")"),36640)</f>
        <v>36640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IFERROR(__xludf.DUMMYFUNCTION("IMPORTRANGE(""https://docs.google.com/spreadsheets/d/11923uPwbBZFjjGgGUA6NLw09EwE0CqkOc4q9oUmW1yo/edit?usp=sharing"",""ตาก!J286"")"),0)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IFERROR(__xludf.DUMMYFUNCTION("IMPORTRANGE(""https://docs.google.com/spreadsheets/d/11923uPwbBZFjjGgGUA6NLw09EwE0CqkOc4q9oUmW1yo/edit?usp=sharing"",""ตาก!J287"")"),1)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IFERROR(__xludf.DUMMYFUNCTION("IMPORTRANGE(""https://docs.google.com/spreadsheets/d/11923uPwbBZFjjGgGUA6NLw09EwE0CqkOc4q9oUmW1yo/edit?usp=sharing"",""ตาก!J288"")"),1)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IFERROR(__xludf.DUMMYFUNCTION("IMPORTRANGE(""https://docs.google.com/spreadsheets/d/11923uPwbBZFjjGgGUA6NLw09EwE0CqkOc4q9oUmW1yo/edit?usp=sharing"",""ตาก!J289"")"),1)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IFERROR(__xludf.DUMMYFUNCTION("IMPORTRANGE(""https://docs.google.com/spreadsheets/d/11923uPwbBZFjjGgGUA6NLw09EwE0CqkOc4q9oUmW1yo/edit?usp=sharing"",""ตาก!I291"")"),50)</f>
        <v>50</v>
      </c>
      <c r="J396" s="197">
        <f ca="1">IFERROR(__xludf.DUMMYFUNCTION("IMPORTRANGE(""https://docs.google.com/spreadsheets/d/11923uPwbBZFjjGgGUA6NLw09EwE0CqkOc4q9oUmW1yo/edit?usp=sharing"",""ตาก!J291"")"),50)</f>
        <v>50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IFERROR(__xludf.DUMMYFUNCTION("IMPORTRANGE(""https://docs.google.com/spreadsheets/d/11923uPwbBZFjjGgGUA6NLw09EwE0CqkOc4q9oUmW1yo/edit?usp=sharing"",""ตาก!I292"")"),500)</f>
        <v>500</v>
      </c>
      <c r="J397" s="197">
        <f ca="1">IFERROR(__xludf.DUMMYFUNCTION("IMPORTRANGE(""https://docs.google.com/spreadsheets/d/11923uPwbBZFjjGgGUA6NLw09EwE0CqkOc4q9oUmW1yo/edit?usp=sharing"",""ตาก!J292"")"),500)</f>
        <v>500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IFERROR(__xludf.DUMMYFUNCTION("IMPORTRANGE(""https://docs.google.com/spreadsheets/d/11923uPwbBZFjjGgGUA6NLw09EwE0CqkOc4q9oUmW1yo/edit?usp=sharing"",""ตาก!I293"")"),50)</f>
        <v>50</v>
      </c>
      <c r="J398" s="197">
        <f ca="1">IFERROR(__xludf.DUMMYFUNCTION("IMPORTRANGE(""https://docs.google.com/spreadsheets/d/11923uPwbBZFjjGgGUA6NLw09EwE0CqkOc4q9oUmW1yo/edit?usp=sharing"",""ตาก!J293"")"),50)</f>
        <v>50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IFERROR(__xludf.DUMMYFUNCTION("IMPORTRANGE(""https://docs.google.com/spreadsheets/d/11923uPwbBZFjjGgGUA6NLw09EwE0CqkOc4q9oUmW1yo/edit?usp=sharing"",""ตาก!J294"")"),0)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IFERROR(__xludf.DUMMYFUNCTION("IMPORTRANGE(""https://docs.google.com/spreadsheets/d/11923uPwbBZFjjGgGUA6NLw09EwE0CqkOc4q9oUmW1yo/edit?usp=sharing"",""ตาก!J295"")"),0)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IFERROR(__xludf.DUMMYFUNCTION("IMPORTRANGE(""https://docs.google.com/spreadsheets/d/11923uPwbBZFjjGgGUA6NLw09EwE0CqkOc4q9oUmW1yo/edit?usp=sharing"",""ตาก!I296"")"),225)</f>
        <v>225</v>
      </c>
      <c r="J401" s="370">
        <f ca="1">IFERROR(__xludf.DUMMYFUNCTION("IMPORTRANGE(""https://docs.google.com/spreadsheets/d/11923uPwbBZFjjGgGUA6NLw09EwE0CqkOc4q9oUmW1yo/edit?usp=sharing"",""ตาก!J296"")"),225)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IFERROR(__xludf.DUMMYFUNCTION("IMPORTRANGE(""https://docs.google.com/spreadsheets/d/11923uPwbBZFjjGgGUA6NLw09EwE0CqkOc4q9oUmW1yo/edit?usp=sharing"",""ตาก!L296"")"),230370)</f>
        <v>230370</v>
      </c>
      <c r="M401" s="372"/>
      <c r="N401" s="372">
        <f ca="1">IFERROR(__xludf.DUMMYFUNCTION("IMPORTRANGE(""https://docs.google.com/spreadsheets/d/11923uPwbBZFjjGgGUA6NLw09EwE0CqkOc4q9oUmW1yo/edit?usp=sharing"",""ตาก!M296"")"),205242)</f>
        <v>205242</v>
      </c>
      <c r="O401" s="372">
        <f ca="1">+IF(L401&gt;0,N401*100/L401,0)</f>
        <v>89.092329730433647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IFERROR(__xludf.DUMMYFUNCTION("IMPORTRANGE(""https://docs.google.com/spreadsheets/d/11923uPwbBZFjjGgGUA6NLw09EwE0CqkOc4q9oUmW1yo/edit?usp=sharing"",""ตาก!I297"")"),75)</f>
        <v>75</v>
      </c>
      <c r="J402" s="370">
        <f ca="1">IFERROR(__xludf.DUMMYFUNCTION("IMPORTRANGE(""https://docs.google.com/spreadsheets/d/11923uPwbBZFjjGgGUA6NLw09EwE0CqkOc4q9oUmW1yo/edit?usp=sharing"",""ตาก!J297"")"),75)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IFERROR(__xludf.DUMMYFUNCTION("IMPORTRANGE(""https://docs.google.com/spreadsheets/d/11923uPwbBZFjjGgGUA6NLw09EwE0CqkOc4q9oUmW1yo/edit?usp=sharing"",""ตาก!L298"")"),0)</f>
        <v>0</v>
      </c>
      <c r="M403" s="164"/>
      <c r="N403" s="168">
        <f ca="1">IFERROR(__xludf.DUMMYFUNCTION("IMPORTRANGE(""https://docs.google.com/spreadsheets/d/11923uPwbBZFjjGgGUA6NLw09EwE0CqkOc4q9oUmW1yo/edit?usp=sharing"",""ตาก!M298"")"),0)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IFERROR(__xludf.DUMMYFUNCTION("IMPORTRANGE(""https://docs.google.com/spreadsheets/d/11923uPwbBZFjjGgGUA6NLw09EwE0CqkOc4q9oUmW1yo/edit?usp=sharing"",""ตาก!L299"")"),230370)</f>
        <v>230370</v>
      </c>
      <c r="M404" s="165"/>
      <c r="N404" s="168">
        <f ca="1">IFERROR(__xludf.DUMMYFUNCTION("IMPORTRANGE(""https://docs.google.com/spreadsheets/d/11923uPwbBZFjjGgGUA6NLw09EwE0CqkOc4q9oUmW1yo/edit?usp=sharing"",""ตาก!M299"")"),205242)</f>
        <v>205242</v>
      </c>
      <c r="O404" s="168">
        <f t="shared" ca="1" si="112"/>
        <v>89.092329730433647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IFERROR(__xludf.DUMMYFUNCTION("IMPORTRANGE(""https://docs.google.com/spreadsheets/d/11923uPwbBZFjjGgGUA6NLw09EwE0CqkOc4q9oUmW1yo/edit?usp=sharing"",""ตาก!L300"")"),0)</f>
        <v>0</v>
      </c>
      <c r="M405" s="168"/>
      <c r="N405" s="168">
        <f ca="1">IFERROR(__xludf.DUMMYFUNCTION("IMPORTRANGE(""https://docs.google.com/spreadsheets/d/11923uPwbBZFjjGgGUA6NLw09EwE0CqkOc4q9oUmW1yo/edit?usp=sharing"",""ตาก!M300"")"),0)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IFERROR(__xludf.DUMMYFUNCTION("IMPORTRANGE(""https://docs.google.com/spreadsheets/d/11923uPwbBZFjjGgGUA6NLw09EwE0CqkOc4q9oUmW1yo/edit?usp=sharing"",""ตาก!L301"")"),230370)</f>
        <v>230370</v>
      </c>
      <c r="M406" s="168"/>
      <c r="N406" s="168">
        <f ca="1">IFERROR(__xludf.DUMMYFUNCTION("IMPORTRANGE(""https://docs.google.com/spreadsheets/d/11923uPwbBZFjjGgGUA6NLw09EwE0CqkOc4q9oUmW1yo/edit?usp=sharing"",""ตาก!M301"")"),205242)</f>
        <v>205242</v>
      </c>
      <c r="O406" s="168">
        <f t="shared" ca="1" si="112"/>
        <v>89.092329730433647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IFERROR(__xludf.DUMMYFUNCTION("IMPORTRANGE(""https://docs.google.com/spreadsheets/d/11923uPwbBZFjjGgGUA6NLw09EwE0CqkOc4q9oUmW1yo/edit?usp=sharing"",""ตาก!M302"")"),124222)</f>
        <v>124222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IFERROR(__xludf.DUMMYFUNCTION("IMPORTRANGE(""https://docs.google.com/spreadsheets/d/11923uPwbBZFjjGgGUA6NLw09EwE0CqkOc4q9oUmW1yo/edit?usp=sharing"",""ตาก!M303"")"),45500)</f>
        <v>45500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IFERROR(__xludf.DUMMYFUNCTION("IMPORTRANGE(""https://docs.google.com/spreadsheets/d/11923uPwbBZFjjGgGUA6NLw09EwE0CqkOc4q9oUmW1yo/edit?usp=sharing"",""ตาก!M304"")"),0)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IFERROR(__xludf.DUMMYFUNCTION("IMPORTRANGE(""https://docs.google.com/spreadsheets/d/11923uPwbBZFjjGgGUA6NLw09EwE0CqkOc4q9oUmW1yo/edit?usp=sharing"",""ตาก!M305"")"),35520)</f>
        <v>35520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IFERROR(__xludf.DUMMYFUNCTION("IMPORTRANGE(""https://docs.google.com/spreadsheets/d/11923uPwbBZFjjGgGUA6NLw09EwE0CqkOc4q9oUmW1yo/edit?usp=sharing"",""ตาก!J307"")"),0)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IFERROR(__xludf.DUMMYFUNCTION("IMPORTRANGE(""https://docs.google.com/spreadsheets/d/11923uPwbBZFjjGgGUA6NLw09EwE0CqkOc4q9oUmW1yo/edit?usp=sharing"",""ตาก!J308"")"),1)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IFERROR(__xludf.DUMMYFUNCTION("IMPORTRANGE(""https://docs.google.com/spreadsheets/d/11923uPwbBZFjjGgGUA6NLw09EwE0CqkOc4q9oUmW1yo/edit?usp=sharing"",""ตาก!J309"")"),1)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IFERROR(__xludf.DUMMYFUNCTION("IMPORTRANGE(""https://docs.google.com/spreadsheets/d/11923uPwbBZFjjGgGUA6NLw09EwE0CqkOc4q9oUmW1yo/edit?usp=sharing"",""ตาก!J310"")"),1)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IFERROR(__xludf.DUMMYFUNCTION("IMPORTRANGE(""https://docs.google.com/spreadsheets/d/11923uPwbBZFjjGgGUA6NLw09EwE0CqkOc4q9oUmW1yo/edit?usp=sharing"",""ตาก!I311"")"),75)</f>
        <v>75</v>
      </c>
      <c r="J416" s="200">
        <f ca="1">IFERROR(__xludf.DUMMYFUNCTION("IMPORTRANGE(""https://docs.google.com/spreadsheets/d/11923uPwbBZFjjGgGUA6NLw09EwE0CqkOc4q9oUmW1yo/edit?usp=sharing"",""ตาก!J311"")"),75)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IFERROR(__xludf.DUMMYFUNCTION("IMPORTRANGE(""https://docs.google.com/spreadsheets/d/11923uPwbBZFjjGgGUA6NLw09EwE0CqkOc4q9oUmW1yo/edit?usp=sharing"",""ตาก!I312"")"),0)</f>
        <v>0</v>
      </c>
      <c r="J417" s="391">
        <f ca="1">IFERROR(__xludf.DUMMYFUNCTION("IMPORTRANGE(""https://docs.google.com/spreadsheets/d/11923uPwbBZFjjGgGUA6NLw09EwE0CqkOc4q9oUmW1yo/edit?usp=sharing"",""ตาก!J312"")"),0)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IFERROR(__xludf.DUMMYFUNCTION("IMPORTRANGE(""https://docs.google.com/spreadsheets/d/11923uPwbBZFjjGgGUA6NLw09EwE0CqkOc4q9oUmW1yo/edit?usp=sharing"",""ตาก!I313"")"),0)</f>
        <v>0</v>
      </c>
      <c r="J418" s="392">
        <f ca="1">IFERROR(__xludf.DUMMYFUNCTION("IMPORTRANGE(""https://docs.google.com/spreadsheets/d/11923uPwbBZFjjGgGUA6NLw09EwE0CqkOc4q9oUmW1yo/edit?usp=sharing"",""ตาก!J313"")"),0)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IFERROR(__xludf.DUMMYFUNCTION("IMPORTRANGE(""https://docs.google.com/spreadsheets/d/11923uPwbBZFjjGgGUA6NLw09EwE0CqkOc4q9oUmW1yo/edit?usp=sharing"",""ตาก!I314"")"),0)</f>
        <v>0</v>
      </c>
      <c r="J419" s="393">
        <f ca="1">IFERROR(__xludf.DUMMYFUNCTION("IMPORTRANGE(""https://docs.google.com/spreadsheets/d/11923uPwbBZFjjGgGUA6NLw09EwE0CqkOc4q9oUmW1yo/edit?usp=sharing"",""ตาก!J314"")"),0)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IFERROR(__xludf.DUMMYFUNCTION("IMPORTRANGE(""https://docs.google.com/spreadsheets/d/11923uPwbBZFjjGgGUA6NLw09EwE0CqkOc4q9oUmW1yo/edit?usp=sharing"",""ตาก!I315"")"),0)</f>
        <v>0</v>
      </c>
      <c r="J420" s="393">
        <f ca="1">IFERROR(__xludf.DUMMYFUNCTION("IMPORTRANGE(""https://docs.google.com/spreadsheets/d/11923uPwbBZFjjGgGUA6NLw09EwE0CqkOc4q9oUmW1yo/edit?usp=sharing"",""ตาก!J315"")"),0)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IFERROR(__xludf.DUMMYFUNCTION("IMPORTRANGE(""https://docs.google.com/spreadsheets/d/11923uPwbBZFjjGgGUA6NLw09EwE0CqkOc4q9oUmW1yo/edit?usp=sharing"",""ตาก!I316"")"),65)</f>
        <v>65</v>
      </c>
      <c r="J421" s="391">
        <f ca="1">IFERROR(__xludf.DUMMYFUNCTION("IMPORTRANGE(""https://docs.google.com/spreadsheets/d/11923uPwbBZFjjGgGUA6NLw09EwE0CqkOc4q9oUmW1yo/edit?usp=sharing"",""ตาก!J316"")"),65)</f>
        <v>65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IFERROR(__xludf.DUMMYFUNCTION("IMPORTRANGE(""https://docs.google.com/spreadsheets/d/11923uPwbBZFjjGgGUA6NLw09EwE0CqkOc4q9oUmW1yo/edit?usp=sharing"",""ตาก!I317"")"),195)</f>
        <v>195</v>
      </c>
      <c r="J422" s="392">
        <f ca="1">IFERROR(__xludf.DUMMYFUNCTION("IMPORTRANGE(""https://docs.google.com/spreadsheets/d/11923uPwbBZFjjGgGUA6NLw09EwE0CqkOc4q9oUmW1yo/edit?usp=sharing"",""ตาก!J317"")"),195)</f>
        <v>195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IFERROR(__xludf.DUMMYFUNCTION("IMPORTRANGE(""https://docs.google.com/spreadsheets/d/11923uPwbBZFjjGgGUA6NLw09EwE0CqkOc4q9oUmW1yo/edit?usp=sharing"",""ตาก!I318"")"),65)</f>
        <v>65</v>
      </c>
      <c r="J423" s="393">
        <f ca="1">IFERROR(__xludf.DUMMYFUNCTION("IMPORTRANGE(""https://docs.google.com/spreadsheets/d/11923uPwbBZFjjGgGUA6NLw09EwE0CqkOc4q9oUmW1yo/edit?usp=sharing"",""ตาก!J318"")"),65)</f>
        <v>65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IFERROR(__xludf.DUMMYFUNCTION("IMPORTRANGE(""https://docs.google.com/spreadsheets/d/11923uPwbBZFjjGgGUA6NLw09EwE0CqkOc4q9oUmW1yo/edit?usp=sharing"",""ตาก!I319"")"),65)</f>
        <v>65</v>
      </c>
      <c r="J424" s="393">
        <f ca="1">IFERROR(__xludf.DUMMYFUNCTION("IMPORTRANGE(""https://docs.google.com/spreadsheets/d/11923uPwbBZFjjGgGUA6NLw09EwE0CqkOc4q9oUmW1yo/edit?usp=sharing"",""ตาก!J319"")"),65)</f>
        <v>65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IFERROR(__xludf.DUMMYFUNCTION("IMPORTRANGE(""https://docs.google.com/spreadsheets/d/11923uPwbBZFjjGgGUA6NLw09EwE0CqkOc4q9oUmW1yo/edit?usp=sharing"",""ตาก!I320"")"),65)</f>
        <v>65</v>
      </c>
      <c r="J425" s="393">
        <f ca="1">IFERROR(__xludf.DUMMYFUNCTION("IMPORTRANGE(""https://docs.google.com/spreadsheets/d/11923uPwbBZFjjGgGUA6NLw09EwE0CqkOc4q9oUmW1yo/edit?usp=sharing"",""ตาก!J320"")"),65)</f>
        <v>65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IFERROR(__xludf.DUMMYFUNCTION("IMPORTRANGE(""https://docs.google.com/spreadsheets/d/11923uPwbBZFjjGgGUA6NLw09EwE0CqkOc4q9oUmW1yo/edit?usp=sharing"",""ตาก!I321"")"),10)</f>
        <v>10</v>
      </c>
      <c r="J426" s="391">
        <f ca="1">IFERROR(__xludf.DUMMYFUNCTION("IMPORTRANGE(""https://docs.google.com/spreadsheets/d/11923uPwbBZFjjGgGUA6NLw09EwE0CqkOc4q9oUmW1yo/edit?usp=sharing"",""ตาก!J321"")"),10)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IFERROR(__xludf.DUMMYFUNCTION("IMPORTRANGE(""https://docs.google.com/spreadsheets/d/11923uPwbBZFjjGgGUA6NLw09EwE0CqkOc4q9oUmW1yo/edit?usp=sharing"",""ตาก!I322"")"),30)</f>
        <v>30</v>
      </c>
      <c r="J427" s="392">
        <f ca="1">IFERROR(__xludf.DUMMYFUNCTION("IMPORTRANGE(""https://docs.google.com/spreadsheets/d/11923uPwbBZFjjGgGUA6NLw09EwE0CqkOc4q9oUmW1yo/edit?usp=sharing"",""ตาก!J322"")"),30)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IFERROR(__xludf.DUMMYFUNCTION("IMPORTRANGE(""https://docs.google.com/spreadsheets/d/11923uPwbBZFjjGgGUA6NLw09EwE0CqkOc4q9oUmW1yo/edit?usp=sharing"",""ตาก!I323"")"),10)</f>
        <v>10</v>
      </c>
      <c r="J428" s="393">
        <f ca="1">IFERROR(__xludf.DUMMYFUNCTION("IMPORTRANGE(""https://docs.google.com/spreadsheets/d/11923uPwbBZFjjGgGUA6NLw09EwE0CqkOc4q9oUmW1yo/edit?usp=sharing"",""ตาก!J323"")"),10)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IFERROR(__xludf.DUMMYFUNCTION("IMPORTRANGE(""https://docs.google.com/spreadsheets/d/11923uPwbBZFjjGgGUA6NLw09EwE0CqkOc4q9oUmW1yo/edit?usp=sharing"",""ตาก!I324"")"),10)</f>
        <v>10</v>
      </c>
      <c r="J429" s="393">
        <f ca="1">IFERROR(__xludf.DUMMYFUNCTION("IMPORTRANGE(""https://docs.google.com/spreadsheets/d/11923uPwbBZFjjGgGUA6NLw09EwE0CqkOc4q9oUmW1yo/edit?usp=sharing"",""ตาก!J324"")"),10)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IFERROR(__xludf.DUMMYFUNCTION("IMPORTRANGE(""https://docs.google.com/spreadsheets/d/11923uPwbBZFjjGgGUA6NLw09EwE0CqkOc4q9oUmW1yo/edit?usp=sharing"",""ตาก!I325"")"),65)</f>
        <v>65</v>
      </c>
      <c r="J430" s="391">
        <f ca="1">IFERROR(__xludf.DUMMYFUNCTION("IMPORTRANGE(""https://docs.google.com/spreadsheets/d/11923uPwbBZFjjGgGUA6NLw09EwE0CqkOc4q9oUmW1yo/edit?usp=sharing"",""ตาก!J325"")"),65)</f>
        <v>65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IFERROR(__xludf.DUMMYFUNCTION("IMPORTRANGE(""https://docs.google.com/spreadsheets/d/11923uPwbBZFjjGgGUA6NLw09EwE0CqkOc4q9oUmW1yo/edit?usp=sharing"",""ตาก!I326"")"),0)</f>
        <v>0</v>
      </c>
      <c r="J431" s="393">
        <f ca="1">IFERROR(__xludf.DUMMYFUNCTION("IMPORTRANGE(""https://docs.google.com/spreadsheets/d/11923uPwbBZFjjGgGUA6NLw09EwE0CqkOc4q9oUmW1yo/edit?usp=sharing"",""ตาก!J326"")"),0)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IFERROR(__xludf.DUMMYFUNCTION("IMPORTRANGE(""https://docs.google.com/spreadsheets/d/11923uPwbBZFjjGgGUA6NLw09EwE0CqkOc4q9oUmW1yo/edit?usp=sharing"",""ตาก!I327"")"),65)</f>
        <v>65</v>
      </c>
      <c r="J432" s="393">
        <f ca="1">IFERROR(__xludf.DUMMYFUNCTION("IMPORTRANGE(""https://docs.google.com/spreadsheets/d/11923uPwbBZFjjGgGUA6NLw09EwE0CqkOc4q9oUmW1yo/edit?usp=sharing"",""ตาก!J327"")"),65)</f>
        <v>65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IFERROR(__xludf.DUMMYFUNCTION("IMPORTRANGE(""https://docs.google.com/spreadsheets/d/11923uPwbBZFjjGgGUA6NLw09EwE0CqkOc4q9oUmW1yo/edit?usp=sharing"",""ตาก!J328"")"),0)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IFERROR(__xludf.DUMMYFUNCTION("IMPORTRANGE(""https://docs.google.com/spreadsheets/d/11923uPwbBZFjjGgGUA6NLw09EwE0CqkOc4q9oUmW1yo/edit?usp=sharing"",""ตาก!J329"")"),0)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IFERROR(__xludf.DUMMYFUNCTION("IMPORTRANGE(""https://docs.google.com/spreadsheets/d/11923uPwbBZFjjGgGUA6NLw09EwE0CqkOc4q9oUmW1yo/edit?usp=sharing"",""ตาก!I330"")"),20)</f>
        <v>20</v>
      </c>
      <c r="J435" s="409">
        <f ca="1">IFERROR(__xludf.DUMMYFUNCTION("IMPORTRANGE(""https://docs.google.com/spreadsheets/d/11923uPwbBZFjjGgGUA6NLw09EwE0CqkOc4q9oUmW1yo/edit?usp=sharing"",""ตาก!J330"")"),20)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IFERROR(__xludf.DUMMYFUNCTION("IMPORTRANGE(""https://docs.google.com/spreadsheets/d/11923uPwbBZFjjGgGUA6NLw09EwE0CqkOc4q9oUmW1yo/edit?usp=sharing"",""ตาก!L330"")"),100000)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IFERROR(__xludf.DUMMYFUNCTION("IMPORTRANGE(""https://docs.google.com/spreadsheets/d/11923uPwbBZFjjGgGUA6NLw09EwE0CqkOc4q9oUmW1yo/edit?usp=sharing"",""ตาก!M330"")"),77538)</f>
        <v>77538</v>
      </c>
      <c r="O435" s="411">
        <f t="shared" ref="O435:O439" ca="1" si="114">+IF(L435&gt;0,N435*100/L435,0)</f>
        <v>77.537999999999997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IFERROR(__xludf.DUMMYFUNCTION("IMPORTRANGE(""https://docs.google.com/spreadsheets/d/11923uPwbBZFjjGgGUA6NLw09EwE0CqkOc4q9oUmW1yo/edit?usp=sharing"",""ตาก!L331"")"),0)</f>
        <v>0</v>
      </c>
      <c r="M436" s="164"/>
      <c r="N436" s="168">
        <f ca="1">IFERROR(__xludf.DUMMYFUNCTION("IMPORTRANGE(""https://docs.google.com/spreadsheets/d/11923uPwbBZFjjGgGUA6NLw09EwE0CqkOc4q9oUmW1yo/edit?usp=sharing"",""ตาก!M331"")"),0)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IFERROR(__xludf.DUMMYFUNCTION("IMPORTRANGE(""https://docs.google.com/spreadsheets/d/11923uPwbBZFjjGgGUA6NLw09EwE0CqkOc4q9oUmW1yo/edit?usp=sharing"",""ตาก!L332"")"),100000)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IFERROR(__xludf.DUMMYFUNCTION("IMPORTRANGE(""https://docs.google.com/spreadsheets/d/11923uPwbBZFjjGgGUA6NLw09EwE0CqkOc4q9oUmW1yo/edit?usp=sharing"",""ตาก!M332"")"),77538)</f>
        <v>77538</v>
      </c>
      <c r="O437" s="168">
        <f t="shared" ca="1" si="114"/>
        <v>77.537999999999997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IFERROR(__xludf.DUMMYFUNCTION("IMPORTRANGE(""https://docs.google.com/spreadsheets/d/11923uPwbBZFjjGgGUA6NLw09EwE0CqkOc4q9oUmW1yo/edit?usp=sharing"",""ตาก!L333"")"),0)</f>
        <v>0</v>
      </c>
      <c r="M438" s="168"/>
      <c r="N438" s="168">
        <f ca="1">IFERROR(__xludf.DUMMYFUNCTION("IMPORTRANGE(""https://docs.google.com/spreadsheets/d/11923uPwbBZFjjGgGUA6NLw09EwE0CqkOc4q9oUmW1yo/edit?usp=sharing"",""ตาก!M333"")"),0)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IFERROR(__xludf.DUMMYFUNCTION("IMPORTRANGE(""https://docs.google.com/spreadsheets/d/11923uPwbBZFjjGgGUA6NLw09EwE0CqkOc4q9oUmW1yo/edit?usp=sharing"",""ตาก!L334"")"),100000)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IFERROR(__xludf.DUMMYFUNCTION("IMPORTRANGE(""https://docs.google.com/spreadsheets/d/11923uPwbBZFjjGgGUA6NLw09EwE0CqkOc4q9oUmW1yo/edit?usp=sharing"",""ตาก!M334"")"),77538)</f>
        <v>77538</v>
      </c>
      <c r="O439" s="168">
        <f t="shared" ca="1" si="114"/>
        <v>77.537999999999997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IFERROR(__xludf.DUMMYFUNCTION("IMPORTRANGE(""https://docs.google.com/spreadsheets/d/11923uPwbBZFjjGgGUA6NLw09EwE0CqkOc4q9oUmW1yo/edit?usp=sharing"",""ตาก!M335"")"),44200)</f>
        <v>44200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IFERROR(__xludf.DUMMYFUNCTION("IMPORTRANGE(""https://docs.google.com/spreadsheets/d/11923uPwbBZFjjGgGUA6NLw09EwE0CqkOc4q9oUmW1yo/edit?usp=sharing"",""ตาก!M336"")"),0)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IFERROR(__xludf.DUMMYFUNCTION("IMPORTRANGE(""https://docs.google.com/spreadsheets/d/11923uPwbBZFjjGgGUA6NLw09EwE0CqkOc4q9oUmW1yo/edit?usp=sharing"",""ตาก!M337"")"),0)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IFERROR(__xludf.DUMMYFUNCTION("IMPORTRANGE(""https://docs.google.com/spreadsheets/d/11923uPwbBZFjjGgGUA6NLw09EwE0CqkOc4q9oUmW1yo/edit?usp=sharing"",""ตาก!M338"")"),33338)</f>
        <v>33338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IFERROR(__xludf.DUMMYFUNCTION("IMPORTRANGE(""https://docs.google.com/spreadsheets/d/11923uPwbBZFjjGgGUA6NLw09EwE0CqkOc4q9oUmW1yo/edit?usp=sharing"",""ตาก!J340"")"),0)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IFERROR(__xludf.DUMMYFUNCTION("IMPORTRANGE(""https://docs.google.com/spreadsheets/d/11923uPwbBZFjjGgGUA6NLw09EwE0CqkOc4q9oUmW1yo/edit?usp=sharing"",""ตาก!J341"")"),1)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IFERROR(__xludf.DUMMYFUNCTION("IMPORTRANGE(""https://docs.google.com/spreadsheets/d/11923uPwbBZFjjGgGUA6NLw09EwE0CqkOc4q9oUmW1yo/edit?usp=sharing"",""ตาก!J342"")"),1)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IFERROR(__xludf.DUMMYFUNCTION("IMPORTRANGE(""https://docs.google.com/spreadsheets/d/11923uPwbBZFjjGgGUA6NLw09EwE0CqkOc4q9oUmW1yo/edit?usp=sharing"",""ตาก!J343"")"),1)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IFERROR(__xludf.DUMMYFUNCTION("IMPORTRANGE(""https://docs.google.com/spreadsheets/d/11923uPwbBZFjjGgGUA6NLw09EwE0CqkOc4q9oUmW1yo/edit?usp=sharing"",""ตาก!I344"")"),20)</f>
        <v>20</v>
      </c>
      <c r="J449" s="200">
        <f ca="1">IFERROR(__xludf.DUMMYFUNCTION("IMPORTRANGE(""https://docs.google.com/spreadsheets/d/11923uPwbBZFjjGgGUA6NLw09EwE0CqkOc4q9oUmW1yo/edit?usp=sharing"",""ตาก!J344"")"),20)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IFERROR(__xludf.DUMMYFUNCTION("IMPORTRANGE(""https://docs.google.com/spreadsheets/d/11923uPwbBZFjjGgGUA6NLw09EwE0CqkOc4q9oUmW1yo/edit?usp=sharing"",""ตาก!I345"")"),20)</f>
        <v>20</v>
      </c>
      <c r="J450" s="188">
        <f ca="1">IFERROR(__xludf.DUMMYFUNCTION("IMPORTRANGE(""https://docs.google.com/spreadsheets/d/11923uPwbBZFjjGgGUA6NLw09EwE0CqkOc4q9oUmW1yo/edit?usp=sharing"",""ตาก!J345"")"),20)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IFERROR(__xludf.DUMMYFUNCTION("IMPORTRANGE(""https://docs.google.com/spreadsheets/d/11923uPwbBZFjjGgGUA6NLw09EwE0CqkOc4q9oUmW1yo/edit?usp=sharing"",""ตาก!I346"")"),0)</f>
        <v>0</v>
      </c>
      <c r="J451" s="187">
        <f ca="1">IFERROR(__xludf.DUMMYFUNCTION("IMPORTRANGE(""https://docs.google.com/spreadsheets/d/11923uPwbBZFjjGgGUA6NLw09EwE0CqkOc4q9oUmW1yo/edit?usp=sharing"",""ตาก!J346"")"),0)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IFERROR(__xludf.DUMMYFUNCTION("IMPORTRANGE(""https://docs.google.com/spreadsheets/d/11923uPwbBZFjjGgGUA6NLw09EwE0CqkOc4q9oUmW1yo/edit?usp=sharing"",""ตาก!I347"")"),0)</f>
        <v>0</v>
      </c>
      <c r="J452" s="187">
        <f ca="1">IFERROR(__xludf.DUMMYFUNCTION("IMPORTRANGE(""https://docs.google.com/spreadsheets/d/11923uPwbBZFjjGgGUA6NLw09EwE0CqkOc4q9oUmW1yo/edit?usp=sharing"",""ตาก!J347"")"),0)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IFERROR(__xludf.DUMMYFUNCTION("IMPORTRANGE(""https://docs.google.com/spreadsheets/d/11923uPwbBZFjjGgGUA6NLw09EwE0CqkOc4q9oUmW1yo/edit?usp=sharing"",""ตาก!J348"")"),0)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IFERROR(__xludf.DUMMYFUNCTION("IMPORTRANGE(""https://docs.google.com/spreadsheets/d/11923uPwbBZFjjGgGUA6NLw09EwE0CqkOc4q9oUmW1yo/edit?usp=sharing"",""ตาก!J349"")"),0)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IFERROR(__xludf.DUMMYFUNCTION("IMPORTRANGE(""https://docs.google.com/spreadsheets/d/11923uPwbBZFjjGgGUA6NLw09EwE0CqkOc4q9oUmW1yo/edit?usp=sharing"",""ตาก!I350"")"),55356)</f>
        <v>55356</v>
      </c>
      <c r="J455" s="370">
        <f ca="1">IFERROR(__xludf.DUMMYFUNCTION("IMPORTRANGE(""https://docs.google.com/spreadsheets/d/11923uPwbBZFjjGgGUA6NLw09EwE0CqkOc4q9oUmW1yo/edit?usp=sharing"",""ตาก!J350"")"),50133)</f>
        <v>50133</v>
      </c>
      <c r="K455" s="371">
        <f ca="1">IF(I455&gt;0,J455*100/I455,0)</f>
        <v>90.564708432690225</v>
      </c>
      <c r="L455" s="372">
        <f ca="1">IFERROR(__xludf.DUMMYFUNCTION("IMPORTRANGE(""https://docs.google.com/spreadsheets/d/11923uPwbBZFjjGgGUA6NLw09EwE0CqkOc4q9oUmW1yo/edit?usp=sharing"",""ตาก!L350"")"),462178)</f>
        <v>462178</v>
      </c>
      <c r="M455" s="372"/>
      <c r="N455" s="372">
        <f ca="1">IFERROR(__xludf.DUMMYFUNCTION("IMPORTRANGE(""https://docs.google.com/spreadsheets/d/11923uPwbBZFjjGgGUA6NLw09EwE0CqkOc4q9oUmW1yo/edit?usp=sharing"",""ตาก!M350"")"),241144.25)</f>
        <v>241144.25</v>
      </c>
      <c r="O455" s="372">
        <f t="shared" ref="O455:O459" ca="1" si="116">+IF(L455&gt;0,N455*100/L455,0)</f>
        <v>52.175622811990188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IFERROR(__xludf.DUMMYFUNCTION("IMPORTRANGE(""https://docs.google.com/spreadsheets/d/11923uPwbBZFjjGgGUA6NLw09EwE0CqkOc4q9oUmW1yo/edit?usp=sharing"",""ตาก!L351"")"),0)</f>
        <v>0</v>
      </c>
      <c r="M456" s="164"/>
      <c r="N456" s="168">
        <f ca="1">IFERROR(__xludf.DUMMYFUNCTION("IMPORTRANGE(""https://docs.google.com/spreadsheets/d/11923uPwbBZFjjGgGUA6NLw09EwE0CqkOc4q9oUmW1yo/edit?usp=sharing"",""ตาก!M351"")"),0)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IFERROR(__xludf.DUMMYFUNCTION("IMPORTRANGE(""https://docs.google.com/spreadsheets/d/11923uPwbBZFjjGgGUA6NLw09EwE0CqkOc4q9oUmW1yo/edit?usp=sharing"",""ตาก!L352"")"),462178)</f>
        <v>462178</v>
      </c>
      <c r="M457" s="165"/>
      <c r="N457" s="168">
        <f ca="1">IFERROR(__xludf.DUMMYFUNCTION("IMPORTRANGE(""https://docs.google.com/spreadsheets/d/11923uPwbBZFjjGgGUA6NLw09EwE0CqkOc4q9oUmW1yo/edit?usp=sharing"",""ตาก!M352"")"),241144.25)</f>
        <v>241144.25</v>
      </c>
      <c r="O457" s="168">
        <f t="shared" ca="1" si="116"/>
        <v>52.175622811990188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IFERROR(__xludf.DUMMYFUNCTION("IMPORTRANGE(""https://docs.google.com/spreadsheets/d/11923uPwbBZFjjGgGUA6NLw09EwE0CqkOc4q9oUmW1yo/edit?usp=sharing"",""ตาก!L353"")"),0)</f>
        <v>0</v>
      </c>
      <c r="M458" s="168"/>
      <c r="N458" s="168">
        <f ca="1">IFERROR(__xludf.DUMMYFUNCTION("IMPORTRANGE(""https://docs.google.com/spreadsheets/d/11923uPwbBZFjjGgGUA6NLw09EwE0CqkOc4q9oUmW1yo/edit?usp=sharing"",""ตาก!M353"")"),0)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IFERROR(__xludf.DUMMYFUNCTION("IMPORTRANGE(""https://docs.google.com/spreadsheets/d/11923uPwbBZFjjGgGUA6NLw09EwE0CqkOc4q9oUmW1yo/edit?usp=sharing"",""ตาก!L354"")"),462178)</f>
        <v>462178</v>
      </c>
      <c r="M459" s="168"/>
      <c r="N459" s="168">
        <f ca="1">IFERROR(__xludf.DUMMYFUNCTION("IMPORTRANGE(""https://docs.google.com/spreadsheets/d/11923uPwbBZFjjGgGUA6NLw09EwE0CqkOc4q9oUmW1yo/edit?usp=sharing"",""ตาก!M354"")"),241144.25)</f>
        <v>241144.25</v>
      </c>
      <c r="O459" s="168">
        <f t="shared" ca="1" si="116"/>
        <v>52.175622811990188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IFERROR(__xludf.DUMMYFUNCTION("IMPORTRANGE(""https://docs.google.com/spreadsheets/d/11923uPwbBZFjjGgGUA6NLw09EwE0CqkOc4q9oUmW1yo/edit?usp=sharing"",""ตาก!M355"")"),0)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IFERROR(__xludf.DUMMYFUNCTION("IMPORTRANGE(""https://docs.google.com/spreadsheets/d/11923uPwbBZFjjGgGUA6NLw09EwE0CqkOc4q9oUmW1yo/edit?usp=sharing"",""ตาก!M356"")"),0)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IFERROR(__xludf.DUMMYFUNCTION("IMPORTRANGE(""https://docs.google.com/spreadsheets/d/11923uPwbBZFjjGgGUA6NLw09EwE0CqkOc4q9oUmW1yo/edit?usp=sharing"",""ตาก!M357"")"),65266)</f>
        <v>65266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IFERROR(__xludf.DUMMYFUNCTION("IMPORTRANGE(""https://docs.google.com/spreadsheets/d/11923uPwbBZFjjGgGUA6NLw09EwE0CqkOc4q9oUmW1yo/edit?usp=sharing"",""ตาก!M358"")"),175878.25)</f>
        <v>175878.25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IFERROR(__xludf.DUMMYFUNCTION("IMPORTRANGE(""https://docs.google.com/spreadsheets/d/11923uPwbBZFjjGgGUA6NLw09EwE0CqkOc4q9oUmW1yo/edit?usp=sharing"",""ตาก!I359"")"),55356)</f>
        <v>55356</v>
      </c>
      <c r="J464" s="267">
        <f ca="1">IFERROR(__xludf.DUMMYFUNCTION("IMPORTRANGE(""https://docs.google.com/spreadsheets/d/11923uPwbBZFjjGgGUA6NLw09EwE0CqkOc4q9oUmW1yo/edit?usp=sharing"",""ตาก!J359"")"),50133)</f>
        <v>50133</v>
      </c>
      <c r="K464" s="268">
        <f t="shared" ref="K464:K515" ca="1" si="117">IF(I464&gt;0,J464*100/I464,0)</f>
        <v>90.564708432690225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IFERROR(__xludf.DUMMYFUNCTION("IMPORTRANGE(""https://docs.google.com/spreadsheets/d/11923uPwbBZFjjGgGUA6NLw09EwE0CqkOc4q9oUmW1yo/edit?usp=sharing"",""ตาก!I360"")"),55356)</f>
        <v>55356</v>
      </c>
      <c r="J465" s="420">
        <f ca="1">IFERROR(__xludf.DUMMYFUNCTION("IMPORTRANGE(""https://docs.google.com/spreadsheets/d/11923uPwbBZFjjGgGUA6NLw09EwE0CqkOc4q9oUmW1yo/edit?usp=sharing"",""ตาก!J360"")"),55356)</f>
        <v>55356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IFERROR(__xludf.DUMMYFUNCTION("IMPORTRANGE(""https://docs.google.com/spreadsheets/d/11923uPwbBZFjjGgGUA6NLw09EwE0CqkOc4q9oUmW1yo/edit?usp=sharing"",""ตาก!I361"")"),4506)</f>
        <v>4506</v>
      </c>
      <c r="J466" s="420">
        <f ca="1">IFERROR(__xludf.DUMMYFUNCTION("IMPORTRANGE(""https://docs.google.com/spreadsheets/d/11923uPwbBZFjjGgGUA6NLw09EwE0CqkOc4q9oUmW1yo/edit?usp=sharing"",""ตาก!J361"")"),4506)</f>
        <v>4506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IFERROR(__xludf.DUMMYFUNCTION("IMPORTRANGE(""https://docs.google.com/spreadsheets/d/11923uPwbBZFjjGgGUA6NLw09EwE0CqkOc4q9oUmW1yo/edit?usp=sharing"",""ตาก!I362"")"),0)</f>
        <v>0</v>
      </c>
      <c r="J467" s="188">
        <f ca="1">IFERROR(__xludf.DUMMYFUNCTION("IMPORTRANGE(""https://docs.google.com/spreadsheets/d/11923uPwbBZFjjGgGUA6NLw09EwE0CqkOc4q9oUmW1yo/edit?usp=sharing"",""ตาก!J362"")"),48667)</f>
        <v>48667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IFERROR(__xludf.DUMMYFUNCTION("IMPORTRANGE(""https://docs.google.com/spreadsheets/d/11923uPwbBZFjjGgGUA6NLw09EwE0CqkOc4q9oUmW1yo/edit?usp=sharing"",""ตาก!I363"")"),0)</f>
        <v>0</v>
      </c>
      <c r="J468" s="188">
        <f ca="1">IFERROR(__xludf.DUMMYFUNCTION("IMPORTRANGE(""https://docs.google.com/spreadsheets/d/11923uPwbBZFjjGgGUA6NLw09EwE0CqkOc4q9oUmW1yo/edit?usp=sharing"",""ตาก!J363"")"),4096)</f>
        <v>4096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IFERROR(__xludf.DUMMYFUNCTION("IMPORTRANGE(""https://docs.google.com/spreadsheets/d/11923uPwbBZFjjGgGUA6NLw09EwE0CqkOc4q9oUmW1yo/edit?usp=sharing"",""ตาก!I364"")"),0)</f>
        <v>0</v>
      </c>
      <c r="J469" s="188">
        <f ca="1">IFERROR(__xludf.DUMMYFUNCTION("IMPORTRANGE(""https://docs.google.com/spreadsheets/d/11923uPwbBZFjjGgGUA6NLw09EwE0CqkOc4q9oUmW1yo/edit?usp=sharing"",""ตาก!J364"")"),4889)</f>
        <v>4889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IFERROR(__xludf.DUMMYFUNCTION("IMPORTRANGE(""https://docs.google.com/spreadsheets/d/11923uPwbBZFjjGgGUA6NLw09EwE0CqkOc4q9oUmW1yo/edit?usp=sharing"",""ตาก!I365"")"),0)</f>
        <v>0</v>
      </c>
      <c r="J470" s="188">
        <f ca="1">IFERROR(__xludf.DUMMYFUNCTION("IMPORTRANGE(""https://docs.google.com/spreadsheets/d/11923uPwbBZFjjGgGUA6NLw09EwE0CqkOc4q9oUmW1yo/edit?usp=sharing"",""ตาก!J365"")"),302)</f>
        <v>302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IFERROR(__xludf.DUMMYFUNCTION("IMPORTRANGE(""https://docs.google.com/spreadsheets/d/11923uPwbBZFjjGgGUA6NLw09EwE0CqkOc4q9oUmW1yo/edit?usp=sharing"",""ตาก!I366"")"),0)</f>
        <v>0</v>
      </c>
      <c r="J471" s="188">
        <f ca="1">IFERROR(__xludf.DUMMYFUNCTION("IMPORTRANGE(""https://docs.google.com/spreadsheets/d/11923uPwbBZFjjGgGUA6NLw09EwE0CqkOc4q9oUmW1yo/edit?usp=sharing"",""ตาก!J366"")"),1800)</f>
        <v>1800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IFERROR(__xludf.DUMMYFUNCTION("IMPORTRANGE(""https://docs.google.com/spreadsheets/d/11923uPwbBZFjjGgGUA6NLw09EwE0CqkOc4q9oUmW1yo/edit?usp=sharing"",""ตาก!I367"")"),0)</f>
        <v>0</v>
      </c>
      <c r="J472" s="188">
        <f ca="1">IFERROR(__xludf.DUMMYFUNCTION("IMPORTRANGE(""https://docs.google.com/spreadsheets/d/11923uPwbBZFjjGgGUA6NLw09EwE0CqkOc4q9oUmW1yo/edit?usp=sharing"",""ตาก!J367"")"),108)</f>
        <v>108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IFERROR(__xludf.DUMMYFUNCTION("IMPORTRANGE(""https://docs.google.com/spreadsheets/d/11923uPwbBZFjjGgGUA6NLw09EwE0CqkOc4q9oUmW1yo/edit?usp=sharing"",""ตาก!I368"")"),55356)</f>
        <v>55356</v>
      </c>
      <c r="J473" s="420">
        <f ca="1">IFERROR(__xludf.DUMMYFUNCTION("IMPORTRANGE(""https://docs.google.com/spreadsheets/d/11923uPwbBZFjjGgGUA6NLw09EwE0CqkOc4q9oUmW1yo/edit?usp=sharing"",""ตาก!J368"")"),55355.88)</f>
        <v>55355.88</v>
      </c>
      <c r="K473" s="201">
        <f t="shared" ca="1" si="117"/>
        <v>99.999783221331015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IFERROR(__xludf.DUMMYFUNCTION("IMPORTRANGE(""https://docs.google.com/spreadsheets/d/11923uPwbBZFjjGgGUA6NLw09EwE0CqkOc4q9oUmW1yo/edit?usp=sharing"",""ตาก!I369"")"),4506)</f>
        <v>4506</v>
      </c>
      <c r="J474" s="420">
        <f ca="1">IFERROR(__xludf.DUMMYFUNCTION("IMPORTRANGE(""https://docs.google.com/spreadsheets/d/11923uPwbBZFjjGgGUA6NLw09EwE0CqkOc4q9oUmW1yo/edit?usp=sharing"",""ตาก!J369"")"),4506)</f>
        <v>4506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IFERROR(__xludf.DUMMYFUNCTION("IMPORTRANGE(""https://docs.google.com/spreadsheets/d/11923uPwbBZFjjGgGUA6NLw09EwE0CqkOc4q9oUmW1yo/edit?usp=sharing"",""ตาก!I370"")"),0)</f>
        <v>0</v>
      </c>
      <c r="J475" s="188">
        <f ca="1">IFERROR(__xludf.DUMMYFUNCTION("IMPORTRANGE(""https://docs.google.com/spreadsheets/d/11923uPwbBZFjjGgGUA6NLw09EwE0CqkOc4q9oUmW1yo/edit?usp=sharing"",""ตาก!J370"")"),49469.19)</f>
        <v>49469.19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IFERROR(__xludf.DUMMYFUNCTION("IMPORTRANGE(""https://docs.google.com/spreadsheets/d/11923uPwbBZFjjGgGUA6NLw09EwE0CqkOc4q9oUmW1yo/edit?usp=sharing"",""ตาก!I371"")"),0)</f>
        <v>0</v>
      </c>
      <c r="J476" s="188">
        <f ca="1">IFERROR(__xludf.DUMMYFUNCTION("IMPORTRANGE(""https://docs.google.com/spreadsheets/d/11923uPwbBZFjjGgGUA6NLw09EwE0CqkOc4q9oUmW1yo/edit?usp=sharing"",""ตาก!J371"")"),4147)</f>
        <v>4147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IFERROR(__xludf.DUMMYFUNCTION("IMPORTRANGE(""https://docs.google.com/spreadsheets/d/11923uPwbBZFjjGgGUA6NLw09EwE0CqkOc4q9oUmW1yo/edit?usp=sharing"",""ตาก!I372"")"),0)</f>
        <v>0</v>
      </c>
      <c r="J477" s="188">
        <f ca="1">IFERROR(__xludf.DUMMYFUNCTION("IMPORTRANGE(""https://docs.google.com/spreadsheets/d/11923uPwbBZFjjGgGUA6NLw09EwE0CqkOc4q9oUmW1yo/edit?usp=sharing"",""ตาก!J372"")"),4946.69)</f>
        <v>4946.6899999999996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IFERROR(__xludf.DUMMYFUNCTION("IMPORTRANGE(""https://docs.google.com/spreadsheets/d/11923uPwbBZFjjGgGUA6NLw09EwE0CqkOc4q9oUmW1yo/edit?usp=sharing"",""ตาก!I373"")"),0)</f>
        <v>0</v>
      </c>
      <c r="J478" s="188">
        <f ca="1">IFERROR(__xludf.DUMMYFUNCTION("IMPORTRANGE(""https://docs.google.com/spreadsheets/d/11923uPwbBZFjjGgGUA6NLw09EwE0CqkOc4q9oUmW1yo/edit?usp=sharing"",""ตาก!J373"")"),292)</f>
        <v>292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IFERROR(__xludf.DUMMYFUNCTION("IMPORTRANGE(""https://docs.google.com/spreadsheets/d/11923uPwbBZFjjGgGUA6NLw09EwE0CqkOc4q9oUmW1yo/edit?usp=sharing"",""ตาก!I374"")"),0)</f>
        <v>0</v>
      </c>
      <c r="J479" s="188">
        <f ca="1">IFERROR(__xludf.DUMMYFUNCTION("IMPORTRANGE(""https://docs.google.com/spreadsheets/d/11923uPwbBZFjjGgGUA6NLw09EwE0CqkOc4q9oUmW1yo/edit?usp=sharing"",""ตาก!J374"")"),940)</f>
        <v>940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IFERROR(__xludf.DUMMYFUNCTION("IMPORTRANGE(""https://docs.google.com/spreadsheets/d/11923uPwbBZFjjGgGUA6NLw09EwE0CqkOc4q9oUmW1yo/edit?usp=sharing"",""ตาก!I375"")"),0)</f>
        <v>0</v>
      </c>
      <c r="J480" s="188">
        <f ca="1">IFERROR(__xludf.DUMMYFUNCTION("IMPORTRANGE(""https://docs.google.com/spreadsheets/d/11923uPwbBZFjjGgGUA6NLw09EwE0CqkOc4q9oUmW1yo/edit?usp=sharing"",""ตาก!J375"")"),67)</f>
        <v>67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IFERROR(__xludf.DUMMYFUNCTION("IMPORTRANGE(""https://docs.google.com/spreadsheets/d/11923uPwbBZFjjGgGUA6NLw09EwE0CqkOc4q9oUmW1yo/edit?usp=sharing"",""ตาก!I376"")"),55356)</f>
        <v>55356</v>
      </c>
      <c r="J481" s="420">
        <f ca="1">IFERROR(__xludf.DUMMYFUNCTION("IMPORTRANGE(""https://docs.google.com/spreadsheets/d/11923uPwbBZFjjGgGUA6NLw09EwE0CqkOc4q9oUmW1yo/edit?usp=sharing"",""ตาก!J376"")"),50133)</f>
        <v>50133</v>
      </c>
      <c r="K481" s="201">
        <f t="shared" ca="1" si="117"/>
        <v>90.564708432690225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IFERROR(__xludf.DUMMYFUNCTION("IMPORTRANGE(""https://docs.google.com/spreadsheets/d/11923uPwbBZFjjGgGUA6NLw09EwE0CqkOc4q9oUmW1yo/edit?usp=sharing"",""ตาก!I377"")"),4506)</f>
        <v>4506</v>
      </c>
      <c r="J482" s="420">
        <f ca="1">IFERROR(__xludf.DUMMYFUNCTION("IMPORTRANGE(""https://docs.google.com/spreadsheets/d/11923uPwbBZFjjGgGUA6NLw09EwE0CqkOc4q9oUmW1yo/edit?usp=sharing"",""ตาก!J377"")"),3447)</f>
        <v>3447</v>
      </c>
      <c r="K482" s="163">
        <f t="shared" ca="1" si="117"/>
        <v>76.498002663115841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IFERROR(__xludf.DUMMYFUNCTION("IMPORTRANGE(""https://docs.google.com/spreadsheets/d/11923uPwbBZFjjGgGUA6NLw09EwE0CqkOc4q9oUmW1yo/edit?usp=sharing"",""ตาก!I378"")"),0)</f>
        <v>0</v>
      </c>
      <c r="J483" s="188">
        <f ca="1">IFERROR(__xludf.DUMMYFUNCTION("IMPORTRANGE(""https://docs.google.com/spreadsheets/d/11923uPwbBZFjjGgGUA6NLw09EwE0CqkOc4q9oUmW1yo/edit?usp=sharing"",""ตาก!J378"")"),49222)</f>
        <v>49222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IFERROR(__xludf.DUMMYFUNCTION("IMPORTRANGE(""https://docs.google.com/spreadsheets/d/11923uPwbBZFjjGgGUA6NLw09EwE0CqkOc4q9oUmW1yo/edit?usp=sharing"",""ตาก!I379"")"),0)</f>
        <v>0</v>
      </c>
      <c r="J484" s="188">
        <f ca="1">IFERROR(__xludf.DUMMYFUNCTION("IMPORTRANGE(""https://docs.google.com/spreadsheets/d/11923uPwbBZFjjGgGUA6NLw09EwE0CqkOc4q9oUmW1yo/edit?usp=sharing"",""ตาก!J379"")"),3389)</f>
        <v>3389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IFERROR(__xludf.DUMMYFUNCTION("IMPORTRANGE(""https://docs.google.com/spreadsheets/d/11923uPwbBZFjjGgGUA6NLw09EwE0CqkOc4q9oUmW1yo/edit?usp=sharing"",""ตาก!I380"")"),0)</f>
        <v>0</v>
      </c>
      <c r="J485" s="188">
        <f ca="1">IFERROR(__xludf.DUMMYFUNCTION("IMPORTRANGE(""https://docs.google.com/spreadsheets/d/11923uPwbBZFjjGgGUA6NLw09EwE0CqkOc4q9oUmW1yo/edit?usp=sharing"",""ตาก!J380"")"),0)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IFERROR(__xludf.DUMMYFUNCTION("IMPORTRANGE(""https://docs.google.com/spreadsheets/d/11923uPwbBZFjjGgGUA6NLw09EwE0CqkOc4q9oUmW1yo/edit?usp=sharing"",""ตาก!I381"")"),0)</f>
        <v>0</v>
      </c>
      <c r="J486" s="188">
        <f ca="1">IFERROR(__xludf.DUMMYFUNCTION("IMPORTRANGE(""https://docs.google.com/spreadsheets/d/11923uPwbBZFjjGgGUA6NLw09EwE0CqkOc4q9oUmW1yo/edit?usp=sharing"",""ตาก!J381"")"),0)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IFERROR(__xludf.DUMMYFUNCTION("IMPORTRANGE(""https://docs.google.com/spreadsheets/d/11923uPwbBZFjjGgGUA6NLw09EwE0CqkOc4q9oUmW1yo/edit?usp=sharing"",""ตาก!I382"")"),0)</f>
        <v>0</v>
      </c>
      <c r="J487" s="420">
        <f ca="1">IFERROR(__xludf.DUMMYFUNCTION("IMPORTRANGE(""https://docs.google.com/spreadsheets/d/11923uPwbBZFjjGgGUA6NLw09EwE0CqkOc4q9oUmW1yo/edit?usp=sharing"",""ตาก!J382"")"),911)</f>
        <v>911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IFERROR(__xludf.DUMMYFUNCTION("IMPORTRANGE(""https://docs.google.com/spreadsheets/d/11923uPwbBZFjjGgGUA6NLw09EwE0CqkOc4q9oUmW1yo/edit?usp=sharing"",""ตาก!I383"")"),0)</f>
        <v>0</v>
      </c>
      <c r="J488" s="420">
        <f ca="1">IFERROR(__xludf.DUMMYFUNCTION("IMPORTRANGE(""https://docs.google.com/spreadsheets/d/11923uPwbBZFjjGgGUA6NLw09EwE0CqkOc4q9oUmW1yo/edit?usp=sharing"",""ตาก!J383"")"),58)</f>
        <v>58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IFERROR(__xludf.DUMMYFUNCTION("IMPORTRANGE(""https://docs.google.com/spreadsheets/d/11923uPwbBZFjjGgGUA6NLw09EwE0CqkOc4q9oUmW1yo/edit?usp=sharing"",""ตาก!I384"")"),0)</f>
        <v>0</v>
      </c>
      <c r="J489" s="188">
        <f ca="1">IFERROR(__xludf.DUMMYFUNCTION("IMPORTRANGE(""https://docs.google.com/spreadsheets/d/11923uPwbBZFjjGgGUA6NLw09EwE0CqkOc4q9oUmW1yo/edit?usp=sharing"",""ตาก!J384"")"),911)</f>
        <v>911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IFERROR(__xludf.DUMMYFUNCTION("IMPORTRANGE(""https://docs.google.com/spreadsheets/d/11923uPwbBZFjjGgGUA6NLw09EwE0CqkOc4q9oUmW1yo/edit?usp=sharing"",""ตาก!I385"")"),0)</f>
        <v>0</v>
      </c>
      <c r="J490" s="188">
        <f ca="1">IFERROR(__xludf.DUMMYFUNCTION("IMPORTRANGE(""https://docs.google.com/spreadsheets/d/11923uPwbBZFjjGgGUA6NLw09EwE0CqkOc4q9oUmW1yo/edit?usp=sharing"",""ตาก!J385"")"),58)</f>
        <v>58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IFERROR(__xludf.DUMMYFUNCTION("IMPORTRANGE(""https://docs.google.com/spreadsheets/d/11923uPwbBZFjjGgGUA6NLw09EwE0CqkOc4q9oUmW1yo/edit?usp=sharing"",""ตาก!I386"")"),0)</f>
        <v>0</v>
      </c>
      <c r="J491" s="188">
        <f ca="1">IFERROR(__xludf.DUMMYFUNCTION("IMPORTRANGE(""https://docs.google.com/spreadsheets/d/11923uPwbBZFjjGgGUA6NLw09EwE0CqkOc4q9oUmW1yo/edit?usp=sharing"",""ตาก!J386"")"),0)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IFERROR(__xludf.DUMMYFUNCTION("IMPORTRANGE(""https://docs.google.com/spreadsheets/d/11923uPwbBZFjjGgGUA6NLw09EwE0CqkOc4q9oUmW1yo/edit?usp=sharing"",""ตาก!I387"")"),0)</f>
        <v>0</v>
      </c>
      <c r="J492" s="188">
        <f ca="1">IFERROR(__xludf.DUMMYFUNCTION("IMPORTRANGE(""https://docs.google.com/spreadsheets/d/11923uPwbBZFjjGgGUA6NLw09EwE0CqkOc4q9oUmW1yo/edit?usp=sharing"",""ตาก!J387"")"),0)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IFERROR(__xludf.DUMMYFUNCTION("IMPORTRANGE(""https://docs.google.com/spreadsheets/d/11923uPwbBZFjjGgGUA6NLw09EwE0CqkOc4q9oUmW1yo/edit?usp=sharing"",""ตาก!I388"")"),0)</f>
        <v>0</v>
      </c>
      <c r="J493" s="188">
        <f ca="1">IFERROR(__xludf.DUMMYFUNCTION("IMPORTRANGE(""https://docs.google.com/spreadsheets/d/11923uPwbBZFjjGgGUA6NLw09EwE0CqkOc4q9oUmW1yo/edit?usp=sharing"",""ตาก!J388"")"),0)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IFERROR(__xludf.DUMMYFUNCTION("IMPORTRANGE(""https://docs.google.com/spreadsheets/d/11923uPwbBZFjjGgGUA6NLw09EwE0CqkOc4q9oUmW1yo/edit?usp=sharing"",""ตาก!I389"")"),0)</f>
        <v>0</v>
      </c>
      <c r="J494" s="436">
        <f ca="1">IFERROR(__xludf.DUMMYFUNCTION("IMPORTRANGE(""https://docs.google.com/spreadsheets/d/11923uPwbBZFjjGgGUA6NLw09EwE0CqkOc4q9oUmW1yo/edit?usp=sharing"",""ตาก!J389"")"),0)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IFERROR(__xludf.DUMMYFUNCTION("IMPORTRANGE(""https://docs.google.com/spreadsheets/d/11923uPwbBZFjjGgGUA6NLw09EwE0CqkOc4q9oUmW1yo/edit?usp=sharing"",""ตาก!I390"")"),0)</f>
        <v>0</v>
      </c>
      <c r="J495" s="436">
        <f ca="1">IFERROR(__xludf.DUMMYFUNCTION("IMPORTRANGE(""https://docs.google.com/spreadsheets/d/11923uPwbBZFjjGgGUA6NLw09EwE0CqkOc4q9oUmW1yo/edit?usp=sharing"",""ตาก!J390"")"),0)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IFERROR(__xludf.DUMMYFUNCTION("IMPORTRANGE(""https://docs.google.com/spreadsheets/d/11923uPwbBZFjjGgGUA6NLw09EwE0CqkOc4q9oUmW1yo/edit?usp=sharing"",""ตาก!I391"")"),0)</f>
        <v>0</v>
      </c>
      <c r="J496" s="436">
        <f ca="1">IFERROR(__xludf.DUMMYFUNCTION("IMPORTRANGE(""https://docs.google.com/spreadsheets/d/11923uPwbBZFjjGgGUA6NLw09EwE0CqkOc4q9oUmW1yo/edit?usp=sharing"",""ตาก!J391"")"),0)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IFERROR(__xludf.DUMMYFUNCTION("IMPORTRANGE(""https://docs.google.com/spreadsheets/d/11923uPwbBZFjjGgGUA6NLw09EwE0CqkOc4q9oUmW1yo/edit?usp=sharing"",""ตาก!I392"")"),156)</f>
        <v>156</v>
      </c>
      <c r="J497" s="443">
        <f ca="1">IFERROR(__xludf.DUMMYFUNCTION("IMPORTRANGE(""https://docs.google.com/spreadsheets/d/11923uPwbBZFjjGgGUA6NLw09EwE0CqkOc4q9oUmW1yo/edit?usp=sharing"",""ตาก!J392"")"),0)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IFERROR(__xludf.DUMMYFUNCTION("IMPORTRANGE(""https://docs.google.com/spreadsheets/d/11923uPwbBZFjjGgGUA6NLw09EwE0CqkOc4q9oUmW1yo/edit?usp=sharing"",""ตาก!I393"")"),156)</f>
        <v>156</v>
      </c>
      <c r="J498" s="420">
        <f ca="1">IFERROR(__xludf.DUMMYFUNCTION("IMPORTRANGE(""https://docs.google.com/spreadsheets/d/11923uPwbBZFjjGgGUA6NLw09EwE0CqkOc4q9oUmW1yo/edit?usp=sharing"",""ตาก!J393"")"),0)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IFERROR(__xludf.DUMMYFUNCTION("IMPORTRANGE(""https://docs.google.com/spreadsheets/d/11923uPwbBZFjjGgGUA6NLw09EwE0CqkOc4q9oUmW1yo/edit?usp=sharing"",""ตาก!I394"")"),28)</f>
        <v>28</v>
      </c>
      <c r="J499" s="420">
        <f ca="1">IFERROR(__xludf.DUMMYFUNCTION("IMPORTRANGE(""https://docs.google.com/spreadsheets/d/11923uPwbBZFjjGgGUA6NLw09EwE0CqkOc4q9oUmW1yo/edit?usp=sharing"",""ตาก!J394"")"),0)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IFERROR(__xludf.DUMMYFUNCTION("IMPORTRANGE(""https://docs.google.com/spreadsheets/d/11923uPwbBZFjjGgGUA6NLw09EwE0CqkOc4q9oUmW1yo/edit?usp=sharing"",""ตาก!I395"")"),0)</f>
        <v>0</v>
      </c>
      <c r="J500" s="162">
        <f ca="1">IFERROR(__xludf.DUMMYFUNCTION("IMPORTRANGE(""https://docs.google.com/spreadsheets/d/11923uPwbBZFjjGgGUA6NLw09EwE0CqkOc4q9oUmW1yo/edit?usp=sharing"",""ตาก!J395"")"),0)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IFERROR(__xludf.DUMMYFUNCTION("IMPORTRANGE(""https://docs.google.com/spreadsheets/d/11923uPwbBZFjjGgGUA6NLw09EwE0CqkOc4q9oUmW1yo/edit?usp=sharing"",""ตาก!I396"")"),0)</f>
        <v>0</v>
      </c>
      <c r="J501" s="162">
        <f ca="1">IFERROR(__xludf.DUMMYFUNCTION("IMPORTRANGE(""https://docs.google.com/spreadsheets/d/11923uPwbBZFjjGgGUA6NLw09EwE0CqkOc4q9oUmW1yo/edit?usp=sharing"",""ตาก!J396"")"),0)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IFERROR(__xludf.DUMMYFUNCTION("IMPORTRANGE(""https://docs.google.com/spreadsheets/d/11923uPwbBZFjjGgGUA6NLw09EwE0CqkOc4q9oUmW1yo/edit?usp=sharing"",""ตาก!I397"")"),0)</f>
        <v>0</v>
      </c>
      <c r="J502" s="188">
        <f ca="1">IFERROR(__xludf.DUMMYFUNCTION("IMPORTRANGE(""https://docs.google.com/spreadsheets/d/11923uPwbBZFjjGgGUA6NLw09EwE0CqkOc4q9oUmW1yo/edit?usp=sharing"",""ตาก!J397"")"),0)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IFERROR(__xludf.DUMMYFUNCTION("IMPORTRANGE(""https://docs.google.com/spreadsheets/d/11923uPwbBZFjjGgGUA6NLw09EwE0CqkOc4q9oUmW1yo/edit?usp=sharing"",""ตาก!I398"")"),0)</f>
        <v>0</v>
      </c>
      <c r="J503" s="197">
        <f ca="1">IFERROR(__xludf.DUMMYFUNCTION("IMPORTRANGE(""https://docs.google.com/spreadsheets/d/11923uPwbBZFjjGgGUA6NLw09EwE0CqkOc4q9oUmW1yo/edit?usp=sharing"",""ตาก!J398"")"),0)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IFERROR(__xludf.DUMMYFUNCTION("IMPORTRANGE(""https://docs.google.com/spreadsheets/d/11923uPwbBZFjjGgGUA6NLw09EwE0CqkOc4q9oUmW1yo/edit?usp=sharing"",""ตาก!I399"")"),0)</f>
        <v>0</v>
      </c>
      <c r="J504" s="188">
        <f ca="1">IFERROR(__xludf.DUMMYFUNCTION("IMPORTRANGE(""https://docs.google.com/spreadsheets/d/11923uPwbBZFjjGgGUA6NLw09EwE0CqkOc4q9oUmW1yo/edit?usp=sharing"",""ตาก!J399"")"),0)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IFERROR(__xludf.DUMMYFUNCTION("IMPORTRANGE(""https://docs.google.com/spreadsheets/d/11923uPwbBZFjjGgGUA6NLw09EwE0CqkOc4q9oUmW1yo/edit?usp=sharing"",""ตาก!I400"")"),0)</f>
        <v>0</v>
      </c>
      <c r="J505" s="197">
        <f ca="1">IFERROR(__xludf.DUMMYFUNCTION("IMPORTRANGE(""https://docs.google.com/spreadsheets/d/11923uPwbBZFjjGgGUA6NLw09EwE0CqkOc4q9oUmW1yo/edit?usp=sharing"",""ตาก!J400"")"),0)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IFERROR(__xludf.DUMMYFUNCTION("IMPORTRANGE(""https://docs.google.com/spreadsheets/d/11923uPwbBZFjjGgGUA6NLw09EwE0CqkOc4q9oUmW1yo/edit?usp=sharing"",""ตาก!I401"")"),0)</f>
        <v>0</v>
      </c>
      <c r="J506" s="188">
        <f ca="1">IFERROR(__xludf.DUMMYFUNCTION("IMPORTRANGE(""https://docs.google.com/spreadsheets/d/11923uPwbBZFjjGgGUA6NLw09EwE0CqkOc4q9oUmW1yo/edit?usp=sharing"",""ตาก!J401"")"),0)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IFERROR(__xludf.DUMMYFUNCTION("IMPORTRANGE(""https://docs.google.com/spreadsheets/d/11923uPwbBZFjjGgGUA6NLw09EwE0CqkOc4q9oUmW1yo/edit?usp=sharing"",""ตาก!I402"")"),0)</f>
        <v>0</v>
      </c>
      <c r="J507" s="197">
        <f ca="1">IFERROR(__xludf.DUMMYFUNCTION("IMPORTRANGE(""https://docs.google.com/spreadsheets/d/11923uPwbBZFjjGgGUA6NLw09EwE0CqkOc4q9oUmW1yo/edit?usp=sharing"",""ตาก!J402"")"),0)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IFERROR(__xludf.DUMMYFUNCTION("IMPORTRANGE(""https://docs.google.com/spreadsheets/d/11923uPwbBZFjjGgGUA6NLw09EwE0CqkOc4q9oUmW1yo/edit?usp=sharing"",""ตาก!I403"")"),0)</f>
        <v>0</v>
      </c>
      <c r="J508" s="162">
        <f ca="1">IFERROR(__xludf.DUMMYFUNCTION("IMPORTRANGE(""https://docs.google.com/spreadsheets/d/11923uPwbBZFjjGgGUA6NLw09EwE0CqkOc4q9oUmW1yo/edit?usp=sharing"",""ตาก!J403"")"),0)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IFERROR(__xludf.DUMMYFUNCTION("IMPORTRANGE(""https://docs.google.com/spreadsheets/d/11923uPwbBZFjjGgGUA6NLw09EwE0CqkOc4q9oUmW1yo/edit?usp=sharing"",""ตาก!I404"")"),0)</f>
        <v>0</v>
      </c>
      <c r="J509" s="162">
        <f ca="1">IFERROR(__xludf.DUMMYFUNCTION("IMPORTRANGE(""https://docs.google.com/spreadsheets/d/11923uPwbBZFjjGgGUA6NLw09EwE0CqkOc4q9oUmW1yo/edit?usp=sharing"",""ตาก!J404"")"),0)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IFERROR(__xludf.DUMMYFUNCTION("IMPORTRANGE(""https://docs.google.com/spreadsheets/d/11923uPwbBZFjjGgGUA6NLw09EwE0CqkOc4q9oUmW1yo/edit?usp=sharing"",""ตาก!I405"")"),0)</f>
        <v>0</v>
      </c>
      <c r="J510" s="197">
        <f ca="1">IFERROR(__xludf.DUMMYFUNCTION("IMPORTRANGE(""https://docs.google.com/spreadsheets/d/11923uPwbBZFjjGgGUA6NLw09EwE0CqkOc4q9oUmW1yo/edit?usp=sharing"",""ตาก!J405"")"),0)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IFERROR(__xludf.DUMMYFUNCTION("IMPORTRANGE(""https://docs.google.com/spreadsheets/d/11923uPwbBZFjjGgGUA6NLw09EwE0CqkOc4q9oUmW1yo/edit?usp=sharing"",""ตาก!I406"")"),0)</f>
        <v>0</v>
      </c>
      <c r="J511" s="197">
        <f ca="1">IFERROR(__xludf.DUMMYFUNCTION("IMPORTRANGE(""https://docs.google.com/spreadsheets/d/11923uPwbBZFjjGgGUA6NLw09EwE0CqkOc4q9oUmW1yo/edit?usp=sharing"",""ตาก!J406"")"),0)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IFERROR(__xludf.DUMMYFUNCTION("IMPORTRANGE(""https://docs.google.com/spreadsheets/d/11923uPwbBZFjjGgGUA6NLw09EwE0CqkOc4q9oUmW1yo/edit?usp=sharing"",""ตาก!I407"")"),0)</f>
        <v>0</v>
      </c>
      <c r="J512" s="197">
        <f ca="1">IFERROR(__xludf.DUMMYFUNCTION("IMPORTRANGE(""https://docs.google.com/spreadsheets/d/11923uPwbBZFjjGgGUA6NLw09EwE0CqkOc4q9oUmW1yo/edit?usp=sharing"",""ตาก!J407"")"),0)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IFERROR(__xludf.DUMMYFUNCTION("IMPORTRANGE(""https://docs.google.com/spreadsheets/d/11923uPwbBZFjjGgGUA6NLw09EwE0CqkOc4q9oUmW1yo/edit?usp=sharing"",""ตาก!I408"")"),0)</f>
        <v>0</v>
      </c>
      <c r="J513" s="197">
        <f ca="1">IFERROR(__xludf.DUMMYFUNCTION("IMPORTRANGE(""https://docs.google.com/spreadsheets/d/11923uPwbBZFjjGgGUA6NLw09EwE0CqkOc4q9oUmW1yo/edit?usp=sharing"",""ตาก!J408"")"),0)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IFERROR(__xludf.DUMMYFUNCTION("IMPORTRANGE(""https://docs.google.com/spreadsheets/d/11923uPwbBZFjjGgGUA6NLw09EwE0CqkOc4q9oUmW1yo/edit?usp=sharing"",""ตาก!I409"")"),0)</f>
        <v>0</v>
      </c>
      <c r="J514" s="197">
        <f ca="1">IFERROR(__xludf.DUMMYFUNCTION("IMPORTRANGE(""https://docs.google.com/spreadsheets/d/11923uPwbBZFjjGgGUA6NLw09EwE0CqkOc4q9oUmW1yo/edit?usp=sharing"",""ตาก!J409"")"),0)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IFERROR(__xludf.DUMMYFUNCTION("IMPORTRANGE(""https://docs.google.com/spreadsheets/d/11923uPwbBZFjjGgGUA6NLw09EwE0CqkOc4q9oUmW1yo/edit?usp=sharing"",""ตาก!I410"")"),0)</f>
        <v>0</v>
      </c>
      <c r="J515" s="197">
        <f ca="1">IFERROR(__xludf.DUMMYFUNCTION("IMPORTRANGE(""https://docs.google.com/spreadsheets/d/11923uPwbBZFjjGgGUA6NLw09EwE0CqkOc4q9oUmW1yo/edit?usp=sharing"",""ตาก!J410"")"),0)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IFERROR(__xludf.DUMMYFUNCTION("IMPORTRANGE(""https://docs.google.com/spreadsheets/d/11923uPwbBZFjjGgGUA6NLw09EwE0CqkOc4q9oUmW1yo/edit?usp=sharing"",""ตาก!I411"")"),0)</f>
        <v>0</v>
      </c>
      <c r="J516" s="267">
        <f ca="1">IFERROR(__xludf.DUMMYFUNCTION("IMPORTRANGE(""https://docs.google.com/spreadsheets/d/11923uPwbBZFjjGgGUA6NLw09EwE0CqkOc4q9oUmW1yo/edit?usp=sharing"",""ตาก!J411"")"),0)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IFERROR(__xludf.DUMMYFUNCTION("IMPORTRANGE(""https://docs.google.com/spreadsheets/d/11923uPwbBZFjjGgGUA6NLw09EwE0CqkOc4q9oUmW1yo/edit?usp=sharing"",""ตาก!I412"")"),0)</f>
        <v>0</v>
      </c>
      <c r="J517" s="284">
        <f ca="1">IFERROR(__xludf.DUMMYFUNCTION("IMPORTRANGE(""https://docs.google.com/spreadsheets/d/11923uPwbBZFjjGgGUA6NLw09EwE0CqkOc4q9oUmW1yo/edit?usp=sharing"",""ตาก!J412"")"),0)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IFERROR(__xludf.DUMMYFUNCTION("IMPORTRANGE(""https://docs.google.com/spreadsheets/d/11923uPwbBZFjjGgGUA6NLw09EwE0CqkOc4q9oUmW1yo/edit?usp=sharing"",""ตาก!I413"")"),0)</f>
        <v>0</v>
      </c>
      <c r="J518" s="284">
        <f ca="1">IFERROR(__xludf.DUMMYFUNCTION("IMPORTRANGE(""https://docs.google.com/spreadsheets/d/11923uPwbBZFjjGgGUA6NLw09EwE0CqkOc4q9oUmW1yo/edit?usp=sharing"",""ตาก!J413"")"),0)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IFERROR(__xludf.DUMMYFUNCTION("IMPORTRANGE(""https://docs.google.com/spreadsheets/d/11923uPwbBZFjjGgGUA6NLw09EwE0CqkOc4q9oUmW1yo/edit?usp=sharing"",""ตาก!I414"")"),0)</f>
        <v>0</v>
      </c>
      <c r="J519" s="187">
        <f ca="1">IFERROR(__xludf.DUMMYFUNCTION("IMPORTRANGE(""https://docs.google.com/spreadsheets/d/11923uPwbBZFjjGgGUA6NLw09EwE0CqkOc4q9oUmW1yo/edit?usp=sharing"",""ตาก!J414"")"),0)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IFERROR(__xludf.DUMMYFUNCTION("IMPORTRANGE(""https://docs.google.com/spreadsheets/d/11923uPwbBZFjjGgGUA6NLw09EwE0CqkOc4q9oUmW1yo/edit?usp=sharing"",""ตาก!I415"")"),0)</f>
        <v>0</v>
      </c>
      <c r="J520" s="187">
        <f ca="1">IFERROR(__xludf.DUMMYFUNCTION("IMPORTRANGE(""https://docs.google.com/spreadsheets/d/11923uPwbBZFjjGgGUA6NLw09EwE0CqkOc4q9oUmW1yo/edit?usp=sharing"",""ตาก!J415"")"),0)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IFERROR(__xludf.DUMMYFUNCTION("IMPORTRANGE(""https://docs.google.com/spreadsheets/d/11923uPwbBZFjjGgGUA6NLw09EwE0CqkOc4q9oUmW1yo/edit?usp=sharing"",""ตาก!I416"")"),0)</f>
        <v>0</v>
      </c>
      <c r="J521" s="187">
        <f ca="1">IFERROR(__xludf.DUMMYFUNCTION("IMPORTRANGE(""https://docs.google.com/spreadsheets/d/11923uPwbBZFjjGgGUA6NLw09EwE0CqkOc4q9oUmW1yo/edit?usp=sharing"",""ตาก!J416"")"),0)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IFERROR(__xludf.DUMMYFUNCTION("IMPORTRANGE(""https://docs.google.com/spreadsheets/d/11923uPwbBZFjjGgGUA6NLw09EwE0CqkOc4q9oUmW1yo/edit?usp=sharing"",""ตาก!I417"")"),0)</f>
        <v>0</v>
      </c>
      <c r="J522" s="187">
        <f ca="1">IFERROR(__xludf.DUMMYFUNCTION("IMPORTRANGE(""https://docs.google.com/spreadsheets/d/11923uPwbBZFjjGgGUA6NLw09EwE0CqkOc4q9oUmW1yo/edit?usp=sharing"",""ตาก!J417"")"),0)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IFERROR(__xludf.DUMMYFUNCTION("IMPORTRANGE(""https://docs.google.com/spreadsheets/d/11923uPwbBZFjjGgGUA6NLw09EwE0CqkOc4q9oUmW1yo/edit?usp=sharing"",""ตาก!I418"")"),0)</f>
        <v>0</v>
      </c>
      <c r="J523" s="187">
        <f ca="1">IFERROR(__xludf.DUMMYFUNCTION("IMPORTRANGE(""https://docs.google.com/spreadsheets/d/11923uPwbBZFjjGgGUA6NLw09EwE0CqkOc4q9oUmW1yo/edit?usp=sharing"",""ตาก!J418"")"),112)</f>
        <v>112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IFERROR(__xludf.DUMMYFUNCTION("IMPORTRANGE(""https://docs.google.com/spreadsheets/d/11923uPwbBZFjjGgGUA6NLw09EwE0CqkOc4q9oUmW1yo/edit?usp=sharing"",""ตาก!I419"")"),0)</f>
        <v>0</v>
      </c>
      <c r="J524" s="187">
        <f ca="1">IFERROR(__xludf.DUMMYFUNCTION("IMPORTRANGE(""https://docs.google.com/spreadsheets/d/11923uPwbBZFjjGgGUA6NLw09EwE0CqkOc4q9oUmW1yo/edit?usp=sharing"",""ตาก!J419"")"),3)</f>
        <v>3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IFERROR(__xludf.DUMMYFUNCTION("IMPORTRANGE(""https://docs.google.com/spreadsheets/d/11923uPwbBZFjjGgGUA6NLw09EwE0CqkOc4q9oUmW1yo/edit?usp=sharing"",""ตาก!I420"")"),112)</f>
        <v>112</v>
      </c>
      <c r="J525" s="284">
        <f ca="1">IFERROR(__xludf.DUMMYFUNCTION("IMPORTRANGE(""https://docs.google.com/spreadsheets/d/11923uPwbBZFjjGgGUA6NLw09EwE0CqkOc4q9oUmW1yo/edit?usp=sharing"",""ตาก!J420"")"),0)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IFERROR(__xludf.DUMMYFUNCTION("IMPORTRANGE(""https://docs.google.com/spreadsheets/d/11923uPwbBZFjjGgGUA6NLw09EwE0CqkOc4q9oUmW1yo/edit?usp=sharing"",""ตาก!I421"")"),3)</f>
        <v>3</v>
      </c>
      <c r="J526" s="284">
        <f ca="1">IFERROR(__xludf.DUMMYFUNCTION("IMPORTRANGE(""https://docs.google.com/spreadsheets/d/11923uPwbBZFjjGgGUA6NLw09EwE0CqkOc4q9oUmW1yo/edit?usp=sharing"",""ตาก!J421"")"),0)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IFERROR(__xludf.DUMMYFUNCTION("IMPORTRANGE(""https://docs.google.com/spreadsheets/d/11923uPwbBZFjjGgGUA6NLw09EwE0CqkOc4q9oUmW1yo/edit?usp=sharing"",""ตาก!I422"")"),0)</f>
        <v>0</v>
      </c>
      <c r="J527" s="197">
        <f ca="1">IFERROR(__xludf.DUMMYFUNCTION("IMPORTRANGE(""https://docs.google.com/spreadsheets/d/11923uPwbBZFjjGgGUA6NLw09EwE0CqkOc4q9oUmW1yo/edit?usp=sharing"",""ตาก!J422"")"),0)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IFERROR(__xludf.DUMMYFUNCTION("IMPORTRANGE(""https://docs.google.com/spreadsheets/d/11923uPwbBZFjjGgGUA6NLw09EwE0CqkOc4q9oUmW1yo/edit?usp=sharing"",""ตาก!I423"")"),0)</f>
        <v>0</v>
      </c>
      <c r="J528" s="197">
        <f ca="1">IFERROR(__xludf.DUMMYFUNCTION("IMPORTRANGE(""https://docs.google.com/spreadsheets/d/11923uPwbBZFjjGgGUA6NLw09EwE0CqkOc4q9oUmW1yo/edit?usp=sharing"",""ตาก!J423"")"),0)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IFERROR(__xludf.DUMMYFUNCTION("IMPORTRANGE(""https://docs.google.com/spreadsheets/d/11923uPwbBZFjjGgGUA6NLw09EwE0CqkOc4q9oUmW1yo/edit?usp=sharing"",""ตาก!I424"")"),0)</f>
        <v>0</v>
      </c>
      <c r="J529" s="197">
        <f ca="1">IFERROR(__xludf.DUMMYFUNCTION("IMPORTRANGE(""https://docs.google.com/spreadsheets/d/11923uPwbBZFjjGgGUA6NLw09EwE0CqkOc4q9oUmW1yo/edit?usp=sharing"",""ตาก!J424"")"),0)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IFERROR(__xludf.DUMMYFUNCTION("IMPORTRANGE(""https://docs.google.com/spreadsheets/d/11923uPwbBZFjjGgGUA6NLw09EwE0CqkOc4q9oUmW1yo/edit?usp=sharing"",""ตาก!I425"")"),0)</f>
        <v>0</v>
      </c>
      <c r="J530" s="197">
        <f ca="1">IFERROR(__xludf.DUMMYFUNCTION("IMPORTRANGE(""https://docs.google.com/spreadsheets/d/11923uPwbBZFjjGgGUA6NLw09EwE0CqkOc4q9oUmW1yo/edit?usp=sharing"",""ตาก!J425"")"),0)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IFERROR(__xludf.DUMMYFUNCTION("IMPORTRANGE(""https://docs.google.com/spreadsheets/d/11923uPwbBZFjjGgGUA6NLw09EwE0CqkOc4q9oUmW1yo/edit?usp=sharing"",""ตาก!I426"")"),0)</f>
        <v>0</v>
      </c>
      <c r="J531" s="197">
        <f ca="1">IFERROR(__xludf.DUMMYFUNCTION("IMPORTRANGE(""https://docs.google.com/spreadsheets/d/11923uPwbBZFjjGgGUA6NLw09EwE0CqkOc4q9oUmW1yo/edit?usp=sharing"",""ตาก!J426"")"),0)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IFERROR(__xludf.DUMMYFUNCTION("IMPORTRANGE(""https://docs.google.com/spreadsheets/d/11923uPwbBZFjjGgGUA6NLw09EwE0CqkOc4q9oUmW1yo/edit?usp=sharing"",""ตาก!I427"")"),0)</f>
        <v>0</v>
      </c>
      <c r="J532" s="466">
        <f ca="1">IFERROR(__xludf.DUMMYFUNCTION("IMPORTRANGE(""https://docs.google.com/spreadsheets/d/11923uPwbBZFjjGgGUA6NLw09EwE0CqkOc4q9oUmW1yo/edit?usp=sharing"",""ตาก!J427"")"),0)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IFERROR(__xludf.DUMMYFUNCTION("IMPORTRANGE(""https://docs.google.com/spreadsheets/d/11923uPwbBZFjjGgGUA6NLw09EwE0CqkOc4q9oUmW1yo/edit?usp=sharing"",""ตาก!I428"")"),22)</f>
        <v>22</v>
      </c>
      <c r="J533" s="409">
        <f ca="1">IFERROR(__xludf.DUMMYFUNCTION("IMPORTRANGE(""https://docs.google.com/spreadsheets/d/11923uPwbBZFjjGgGUA6NLw09EwE0CqkOc4q9oUmW1yo/edit?usp=sharing"",""ตาก!J428"")"),22)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IFERROR(__xludf.DUMMYFUNCTION("IMPORTRANGE(""https://docs.google.com/spreadsheets/d/11923uPwbBZFjjGgGUA6NLw09EwE0CqkOc4q9oUmW1yo/edit?usp=sharing"",""ตาก!L428"")"),34340)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IFERROR(__xludf.DUMMYFUNCTION("IMPORTRANGE(""https://docs.google.com/spreadsheets/d/11923uPwbBZFjjGgGUA6NLw09EwE0CqkOc4q9oUmW1yo/edit?usp=sharing"",""ตาก!M428"")"),28440)</f>
        <v>28440</v>
      </c>
      <c r="O533" s="411">
        <f t="shared" ref="O533:O537" ca="1" si="118">+IF(L533&gt;0,N533*100/L533,0)</f>
        <v>82.81887012230635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IFERROR(__xludf.DUMMYFUNCTION("IMPORTRANGE(""https://docs.google.com/spreadsheets/d/11923uPwbBZFjjGgGUA6NLw09EwE0CqkOc4q9oUmW1yo/edit?usp=sharing"",""ตาก!L429"")"),0)</f>
        <v>0</v>
      </c>
      <c r="M534" s="164"/>
      <c r="N534" s="168">
        <f ca="1">IFERROR(__xludf.DUMMYFUNCTION("IMPORTRANGE(""https://docs.google.com/spreadsheets/d/11923uPwbBZFjjGgGUA6NLw09EwE0CqkOc4q9oUmW1yo/edit?usp=sharing"",""ตาก!M429"")"),0)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IFERROR(__xludf.DUMMYFUNCTION("IMPORTRANGE(""https://docs.google.com/spreadsheets/d/11923uPwbBZFjjGgGUA6NLw09EwE0CqkOc4q9oUmW1yo/edit?usp=sharing"",""ตาก!L430"")"),34340)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IFERROR(__xludf.DUMMYFUNCTION("IMPORTRANGE(""https://docs.google.com/spreadsheets/d/11923uPwbBZFjjGgGUA6NLw09EwE0CqkOc4q9oUmW1yo/edit?usp=sharing"",""ตาก!M430"")"),28440)</f>
        <v>28440</v>
      </c>
      <c r="O535" s="168">
        <f t="shared" ca="1" si="118"/>
        <v>82.81887012230635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IFERROR(__xludf.DUMMYFUNCTION("IMPORTRANGE(""https://docs.google.com/spreadsheets/d/11923uPwbBZFjjGgGUA6NLw09EwE0CqkOc4q9oUmW1yo/edit?usp=sharing"",""ตาก!L431"")"),0)</f>
        <v>0</v>
      </c>
      <c r="M536" s="168"/>
      <c r="N536" s="168">
        <f ca="1">IFERROR(__xludf.DUMMYFUNCTION("IMPORTRANGE(""https://docs.google.com/spreadsheets/d/11923uPwbBZFjjGgGUA6NLw09EwE0CqkOc4q9oUmW1yo/edit?usp=sharing"",""ตาก!M431"")"),0)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IFERROR(__xludf.DUMMYFUNCTION("IMPORTRANGE(""https://docs.google.com/spreadsheets/d/11923uPwbBZFjjGgGUA6NLw09EwE0CqkOc4q9oUmW1yo/edit?usp=sharing"",""ตาก!L432"")"),34340)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IFERROR(__xludf.DUMMYFUNCTION("IMPORTRANGE(""https://docs.google.com/spreadsheets/d/11923uPwbBZFjjGgGUA6NLw09EwE0CqkOc4q9oUmW1yo/edit?usp=sharing"",""ตาก!M432"")"),28440)</f>
        <v>28440</v>
      </c>
      <c r="O537" s="168">
        <f t="shared" ca="1" si="118"/>
        <v>82.81887012230635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IFERROR(__xludf.DUMMYFUNCTION("IMPORTRANGE(""https://docs.google.com/spreadsheets/d/11923uPwbBZFjjGgGUA6NLw09EwE0CqkOc4q9oUmW1yo/edit?usp=sharing"",""ตาก!M433"")"),18740)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IFERROR(__xludf.DUMMYFUNCTION("IMPORTRANGE(""https://docs.google.com/spreadsheets/d/11923uPwbBZFjjGgGUA6NLw09EwE0CqkOc4q9oUmW1yo/edit?usp=sharing"",""ตาก!M434"")"),0)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IFERROR(__xludf.DUMMYFUNCTION("IMPORTRANGE(""https://docs.google.com/spreadsheets/d/11923uPwbBZFjjGgGUA6NLw09EwE0CqkOc4q9oUmW1yo/edit?usp=sharing"",""ตาก!M435"")"),0)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IFERROR(__xludf.DUMMYFUNCTION("IMPORTRANGE(""https://docs.google.com/spreadsheets/d/11923uPwbBZFjjGgGUA6NLw09EwE0CqkOc4q9oUmW1yo/edit?usp=sharing"",""ตาก!M436"")"),9700)</f>
        <v>9700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IFERROR(__xludf.DUMMYFUNCTION("IMPORTRANGE(""https://docs.google.com/spreadsheets/d/11923uPwbBZFjjGgGUA6NLw09EwE0CqkOc4q9oUmW1yo/edit?usp=sharing"",""ตาก!J438"")"),0)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IFERROR(__xludf.DUMMYFUNCTION("IMPORTRANGE(""https://docs.google.com/spreadsheets/d/11923uPwbBZFjjGgGUA6NLw09EwE0CqkOc4q9oUmW1yo/edit?usp=sharing"",""ตาก!J439"")"),1)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IFERROR(__xludf.DUMMYFUNCTION("IMPORTRANGE(""https://docs.google.com/spreadsheets/d/11923uPwbBZFjjGgGUA6NLw09EwE0CqkOc4q9oUmW1yo/edit?usp=sharing"",""ตาก!J440"")"),1)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IFERROR(__xludf.DUMMYFUNCTION("IMPORTRANGE(""https://docs.google.com/spreadsheets/d/11923uPwbBZFjjGgGUA6NLw09EwE0CqkOc4q9oUmW1yo/edit?usp=sharing"",""ตาก!J441"")"),1)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IFERROR(__xludf.DUMMYFUNCTION("IMPORTRANGE(""https://docs.google.com/spreadsheets/d/11923uPwbBZFjjGgGUA6NLw09EwE0CqkOc4q9oUmW1yo/edit?usp=sharing"",""ตาก!I442"")"),22)</f>
        <v>22</v>
      </c>
      <c r="J547" s="188">
        <f ca="1">IFERROR(__xludf.DUMMYFUNCTION("IMPORTRANGE(""https://docs.google.com/spreadsheets/d/11923uPwbBZFjjGgGUA6NLw09EwE0CqkOc4q9oUmW1yo/edit?usp=sharing"",""ตาก!J442"")"),22)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IFERROR(__xludf.DUMMYFUNCTION("IMPORTRANGE(""https://docs.google.com/spreadsheets/d/11923uPwbBZFjjGgGUA6NLw09EwE0CqkOc4q9oUmW1yo/edit?usp=sharing"",""ตาก!J166"")"),0)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IFERROR(__xludf.DUMMYFUNCTION("IMPORTRANGE(""https://docs.google.com/spreadsheets/d/11923uPwbBZFjjGgGUA6NLw09EwE0CqkOc4q9oUmW1yo/edit?usp=sharing"",""ตาก!J444"")"),0)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IFERROR(__xludf.DUMMYFUNCTION("IMPORTRANGE(""https://docs.google.com/spreadsheets/d/11923uPwbBZFjjGgGUA6NLw09EwE0CqkOc4q9oUmW1yo/edit?usp=sharing"",""ตาก!J445"")"),0)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IFERROR(__xludf.DUMMYFUNCTION("IMPORTRANGE(""https://docs.google.com/spreadsheets/d/11923uPwbBZFjjGgGUA6NLw09EwE0CqkOc4q9oUmW1yo/edit?usp=sharing"",""ตาก!I446"")"),0)</f>
        <v>0</v>
      </c>
      <c r="J551" s="409">
        <f ca="1">IFERROR(__xludf.DUMMYFUNCTION("IMPORTRANGE(""https://docs.google.com/spreadsheets/d/11923uPwbBZFjjGgGUA6NLw09EwE0CqkOc4q9oUmW1yo/edit?usp=sharing"",""ตาก!J446"")"),0)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IFERROR(__xludf.DUMMYFUNCTION("IMPORTRANGE(""https://docs.google.com/spreadsheets/d/11923uPwbBZFjjGgGUA6NLw09EwE0CqkOc4q9oUmW1yo/edit?usp=sharing"",""ตาก!L446"")"),0)</f>
        <v>0</v>
      </c>
      <c r="M551" s="411"/>
      <c r="N551" s="411">
        <f ca="1">IFERROR(__xludf.DUMMYFUNCTION("IMPORTRANGE(""https://docs.google.com/spreadsheets/d/11923uPwbBZFjjGgGUA6NLw09EwE0CqkOc4q9oUmW1yo/edit?usp=sharing"",""ตาก!M446"")"),0)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IFERROR(__xludf.DUMMYFUNCTION("IMPORTRANGE(""https://docs.google.com/spreadsheets/d/11923uPwbBZFjjGgGUA6NLw09EwE0CqkOc4q9oUmW1yo/edit?usp=sharing"",""ตาก!L447"")"),0)</f>
        <v>0</v>
      </c>
      <c r="M552" s="164"/>
      <c r="N552" s="168">
        <f ca="1">IFERROR(__xludf.DUMMYFUNCTION("IMPORTRANGE(""https://docs.google.com/spreadsheets/d/11923uPwbBZFjjGgGUA6NLw09EwE0CqkOc4q9oUmW1yo/edit?usp=sharing"",""ตาก!M447"")"),0)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IFERROR(__xludf.DUMMYFUNCTION("IMPORTRANGE(""https://docs.google.com/spreadsheets/d/11923uPwbBZFjjGgGUA6NLw09EwE0CqkOc4q9oUmW1yo/edit?usp=sharing"",""ตาก!L448"")"),0)</f>
        <v>0</v>
      </c>
      <c r="M553" s="165"/>
      <c r="N553" s="168">
        <f ca="1">IFERROR(__xludf.DUMMYFUNCTION("IMPORTRANGE(""https://docs.google.com/spreadsheets/d/11923uPwbBZFjjGgGUA6NLw09EwE0CqkOc4q9oUmW1yo/edit?usp=sharing"",""ตาก!M448"")"),0)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IFERROR(__xludf.DUMMYFUNCTION("IMPORTRANGE(""https://docs.google.com/spreadsheets/d/11923uPwbBZFjjGgGUA6NLw09EwE0CqkOc4q9oUmW1yo/edit?usp=sharing"",""ตาก!L449"")"),0)</f>
        <v>0</v>
      </c>
      <c r="M554" s="168"/>
      <c r="N554" s="168">
        <f ca="1">IFERROR(__xludf.DUMMYFUNCTION("IMPORTRANGE(""https://docs.google.com/spreadsheets/d/11923uPwbBZFjjGgGUA6NLw09EwE0CqkOc4q9oUmW1yo/edit?usp=sharing"",""ตาก!M449"")"),0)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IFERROR(__xludf.DUMMYFUNCTION("IMPORTRANGE(""https://docs.google.com/spreadsheets/d/11923uPwbBZFjjGgGUA6NLw09EwE0CqkOc4q9oUmW1yo/edit?usp=sharing"",""ตาก!L450"")"),0)</f>
        <v>0</v>
      </c>
      <c r="M555" s="168"/>
      <c r="N555" s="168">
        <f ca="1">IFERROR(__xludf.DUMMYFUNCTION("IMPORTRANGE(""https://docs.google.com/spreadsheets/d/11923uPwbBZFjjGgGUA6NLw09EwE0CqkOc4q9oUmW1yo/edit?usp=sharing"",""ตาก!M450"")"),0)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IFERROR(__xludf.DUMMYFUNCTION("IMPORTRANGE(""https://docs.google.com/spreadsheets/d/11923uPwbBZFjjGgGUA6NLw09EwE0CqkOc4q9oUmW1yo/edit?usp=sharing"",""ตาก!M451"")"),0)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IFERROR(__xludf.DUMMYFUNCTION("IMPORTRANGE(""https://docs.google.com/spreadsheets/d/11923uPwbBZFjjGgGUA6NLw09EwE0CqkOc4q9oUmW1yo/edit?usp=sharing"",""ตาก!M452"")"),0)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IFERROR(__xludf.DUMMYFUNCTION("IMPORTRANGE(""https://docs.google.com/spreadsheets/d/11923uPwbBZFjjGgGUA6NLw09EwE0CqkOc4q9oUmW1yo/edit?usp=sharing"",""ตาก!M453"")"),0)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IFERROR(__xludf.DUMMYFUNCTION("IMPORTRANGE(""https://docs.google.com/spreadsheets/d/11923uPwbBZFjjGgGUA6NLw09EwE0CqkOc4q9oUmW1yo/edit?usp=sharing"",""ตาก!M454"")"),0)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IFERROR(__xludf.DUMMYFUNCTION("IMPORTRANGE(""https://docs.google.com/spreadsheets/d/11923uPwbBZFjjGgGUA6NLw09EwE0CqkOc4q9oUmW1yo/edit?usp=sharing"",""ตาก!I455"")"),0)</f>
        <v>0</v>
      </c>
      <c r="J560" s="162">
        <f ca="1">IFERROR(__xludf.DUMMYFUNCTION("IMPORTRANGE(""https://docs.google.com/spreadsheets/d/11923uPwbBZFjjGgGUA6NLw09EwE0CqkOc4q9oUmW1yo/edit?usp=sharing"",""ตาก!J455"")"),0)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IFERROR(__xludf.DUMMYFUNCTION("IMPORTRANGE(""https://docs.google.com/spreadsheets/d/11923uPwbBZFjjGgGUA6NLw09EwE0CqkOc4q9oUmW1yo/edit?usp=sharing"",""ตาก!I456"")"),0)</f>
        <v>0</v>
      </c>
      <c r="J561" s="203">
        <f ca="1">IFERROR(__xludf.DUMMYFUNCTION("IMPORTRANGE(""https://docs.google.com/spreadsheets/d/11923uPwbBZFjjGgGUA6NLw09EwE0CqkOc4q9oUmW1yo/edit?usp=sharing"",""ตาก!J456"")"),0)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IFERROR(__xludf.DUMMYFUNCTION("IMPORTRANGE(""https://docs.google.com/spreadsheets/d/11923uPwbBZFjjGgGUA6NLw09EwE0CqkOc4q9oUmW1yo/edit?usp=sharing"",""ตาก!I459"")"),1300)</f>
        <v>1300</v>
      </c>
      <c r="J564" s="370">
        <f ca="1">IFERROR(__xludf.DUMMYFUNCTION("IMPORTRANGE(""https://docs.google.com/spreadsheets/d/11923uPwbBZFjjGgGUA6NLw09EwE0CqkOc4q9oUmW1yo/edit?usp=sharing"",""ตาก!J459"")"),1278)</f>
        <v>1278</v>
      </c>
      <c r="K564" s="371">
        <f ca="1">IF(I564&gt;0,J564*100/I564,0)</f>
        <v>98.307692307692307</v>
      </c>
      <c r="L564" s="372">
        <f ca="1">IFERROR(__xludf.DUMMYFUNCTION("IMPORTRANGE(""https://docs.google.com/spreadsheets/d/11923uPwbBZFjjGgGUA6NLw09EwE0CqkOc4q9oUmW1yo/edit?usp=sharing"",""ตาก!L459"")"),128080)</f>
        <v>128080</v>
      </c>
      <c r="M564" s="372"/>
      <c r="N564" s="372">
        <f ca="1">IFERROR(__xludf.DUMMYFUNCTION("IMPORTRANGE(""https://docs.google.com/spreadsheets/d/11923uPwbBZFjjGgGUA6NLw09EwE0CqkOc4q9oUmW1yo/edit?usp=sharing"",""ตาก!M459"")"),60595)</f>
        <v>60595</v>
      </c>
      <c r="O564" s="372">
        <f t="shared" ref="O564:O568" ca="1" si="122">+IF(L564&gt;0,N564*100/L564,0)</f>
        <v>47.310274828232352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IFERROR(__xludf.DUMMYFUNCTION("IMPORTRANGE(""https://docs.google.com/spreadsheets/d/11923uPwbBZFjjGgGUA6NLw09EwE0CqkOc4q9oUmW1yo/edit?usp=sharing"",""ตาก!L460"")"),0)</f>
        <v>0</v>
      </c>
      <c r="M565" s="164"/>
      <c r="N565" s="168">
        <f ca="1">IFERROR(__xludf.DUMMYFUNCTION("IMPORTRANGE(""https://docs.google.com/spreadsheets/d/11923uPwbBZFjjGgGUA6NLw09EwE0CqkOc4q9oUmW1yo/edit?usp=sharing"",""ตาก!M460"")"),0)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IFERROR(__xludf.DUMMYFUNCTION("IMPORTRANGE(""https://docs.google.com/spreadsheets/d/11923uPwbBZFjjGgGUA6NLw09EwE0CqkOc4q9oUmW1yo/edit?usp=sharing"",""ตาก!L461"")"),128080)</f>
        <v>128080</v>
      </c>
      <c r="M566" s="165"/>
      <c r="N566" s="168">
        <f ca="1">IFERROR(__xludf.DUMMYFUNCTION("IMPORTRANGE(""https://docs.google.com/spreadsheets/d/11923uPwbBZFjjGgGUA6NLw09EwE0CqkOc4q9oUmW1yo/edit?usp=sharing"",""ตาก!M461"")"),60595)</f>
        <v>60595</v>
      </c>
      <c r="O566" s="168">
        <f t="shared" ca="1" si="122"/>
        <v>47.310274828232352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IFERROR(__xludf.DUMMYFUNCTION("IMPORTRANGE(""https://docs.google.com/spreadsheets/d/11923uPwbBZFjjGgGUA6NLw09EwE0CqkOc4q9oUmW1yo/edit?usp=sharing"",""ตาก!L462"")"),0)</f>
        <v>0</v>
      </c>
      <c r="M567" s="168"/>
      <c r="N567" s="168">
        <f ca="1">IFERROR(__xludf.DUMMYFUNCTION("IMPORTRANGE(""https://docs.google.com/spreadsheets/d/11923uPwbBZFjjGgGUA6NLw09EwE0CqkOc4q9oUmW1yo/edit?usp=sharing"",""ตาก!M462"")"),0)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IFERROR(__xludf.DUMMYFUNCTION("IMPORTRANGE(""https://docs.google.com/spreadsheets/d/11923uPwbBZFjjGgGUA6NLw09EwE0CqkOc4q9oUmW1yo/edit?usp=sharing"",""ตาก!L463"")"),128080)</f>
        <v>128080</v>
      </c>
      <c r="M568" s="168"/>
      <c r="N568" s="168">
        <f ca="1">IFERROR(__xludf.DUMMYFUNCTION("IMPORTRANGE(""https://docs.google.com/spreadsheets/d/11923uPwbBZFjjGgGUA6NLw09EwE0CqkOc4q9oUmW1yo/edit?usp=sharing"",""ตาก!M463"")"),60595)</f>
        <v>60595</v>
      </c>
      <c r="O568" s="168">
        <f t="shared" ca="1" si="122"/>
        <v>47.310274828232352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IFERROR(__xludf.DUMMYFUNCTION("IMPORTRANGE(""https://docs.google.com/spreadsheets/d/11923uPwbBZFjjGgGUA6NLw09EwE0CqkOc4q9oUmW1yo/edit?usp=sharing"",""ตาก!M464"")"),0)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IFERROR(__xludf.DUMMYFUNCTION("IMPORTRANGE(""https://docs.google.com/spreadsheets/d/11923uPwbBZFjjGgGUA6NLw09EwE0CqkOc4q9oUmW1yo/edit?usp=sharing"",""ตาก!M465"")"),0)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IFERROR(__xludf.DUMMYFUNCTION("IMPORTRANGE(""https://docs.google.com/spreadsheets/d/11923uPwbBZFjjGgGUA6NLw09EwE0CqkOc4q9oUmW1yo/edit?usp=sharing"",""ตาก!M466"")"),31935)</f>
        <v>31935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IFERROR(__xludf.DUMMYFUNCTION("IMPORTRANGE(""https://docs.google.com/spreadsheets/d/11923uPwbBZFjjGgGUA6NLw09EwE0CqkOc4q9oUmW1yo/edit?usp=sharing"",""ตาก!M467"")"),28660)</f>
        <v>28660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IFERROR(__xludf.DUMMYFUNCTION("IMPORTRANGE(""https://docs.google.com/spreadsheets/d/11923uPwbBZFjjGgGUA6NLw09EwE0CqkOc4q9oUmW1yo/edit?usp=sharing"",""ตาก!I468"")"),1300)</f>
        <v>1300</v>
      </c>
      <c r="J573" s="420">
        <f ca="1">IFERROR(__xludf.DUMMYFUNCTION("IMPORTRANGE(""https://docs.google.com/spreadsheets/d/11923uPwbBZFjjGgGUA6NLw09EwE0CqkOc4q9oUmW1yo/edit?usp=sharing"",""ตาก!J468"")"),1278)</f>
        <v>1278</v>
      </c>
      <c r="K573" s="201">
        <f ca="1">IF(I573&gt;0,J573*100/I573,0)</f>
        <v>98.307692307692307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IFERROR(__xludf.DUMMYFUNCTION("IMPORTRANGE(""https://docs.google.com/spreadsheets/d/11923uPwbBZFjjGgGUA6NLw09EwE0CqkOc4q9oUmW1yo/edit?usp=sharing"",""ตาก!I470"")"),0)</f>
        <v>0</v>
      </c>
      <c r="J575" s="197">
        <f ca="1">IFERROR(__xludf.DUMMYFUNCTION("IMPORTRANGE(""https://docs.google.com/spreadsheets/d/11923uPwbBZFjjGgGUA6NLw09EwE0CqkOc4q9oUmW1yo/edit?usp=sharing"",""ตาก!J470"")"),5)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IFERROR(__xludf.DUMMYFUNCTION("IMPORTRANGE(""https://docs.google.com/spreadsheets/d/11923uPwbBZFjjGgGUA6NLw09EwE0CqkOc4q9oUmW1yo/edit?usp=sharing"",""ตาก!I471"")"),0)</f>
        <v>0</v>
      </c>
      <c r="J576" s="197">
        <f ca="1">IFERROR(__xludf.DUMMYFUNCTION("IMPORTRANGE(""https://docs.google.com/spreadsheets/d/11923uPwbBZFjjGgGUA6NLw09EwE0CqkOc4q9oUmW1yo/edit?usp=sharing"",""ตาก!J471"")"),429)</f>
        <v>429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IFERROR(__xludf.DUMMYFUNCTION("IMPORTRANGE(""https://docs.google.com/spreadsheets/d/11923uPwbBZFjjGgGUA6NLw09EwE0CqkOc4q9oUmW1yo/edit?usp=sharing"",""ตาก!I472"")"),0)</f>
        <v>0</v>
      </c>
      <c r="J577" s="188">
        <f ca="1">IFERROR(__xludf.DUMMYFUNCTION("IMPORTRANGE(""https://docs.google.com/spreadsheets/d/11923uPwbBZFjjGgGUA6NLw09EwE0CqkOc4q9oUmW1yo/edit?usp=sharing"",""ตาก!J472"")"),849)</f>
        <v>849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IFERROR(__xludf.DUMMYFUNCTION("IMPORTRANGE(""https://docs.google.com/spreadsheets/d/11923uPwbBZFjjGgGUA6NLw09EwE0CqkOc4q9oUmW1yo/edit?usp=sharing"",""ตาก!I473"")"),0)</f>
        <v>0</v>
      </c>
      <c r="J578" s="197">
        <f ca="1">IFERROR(__xludf.DUMMYFUNCTION("IMPORTRANGE(""https://docs.google.com/spreadsheets/d/11923uPwbBZFjjGgGUA6NLw09EwE0CqkOc4q9oUmW1yo/edit?usp=sharing"",""ตาก!J473"")"),0)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IFERROR(__xludf.DUMMYFUNCTION("IMPORTRANGE(""https://docs.google.com/spreadsheets/d/11923uPwbBZFjjGgGUA6NLw09EwE0CqkOc4q9oUmW1yo/edit?usp=sharing"",""ตาก!I474"")"),0)</f>
        <v>0</v>
      </c>
      <c r="J579" s="197">
        <f ca="1">IFERROR(__xludf.DUMMYFUNCTION("IMPORTRANGE(""https://docs.google.com/spreadsheets/d/11923uPwbBZFjjGgGUA6NLw09EwE0CqkOc4q9oUmW1yo/edit?usp=sharing"",""ตาก!J474"")"),0)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IFERROR(__xludf.DUMMYFUNCTION("IMPORTRANGE(""https://docs.google.com/spreadsheets/d/11923uPwbBZFjjGgGUA6NLw09EwE0CqkOc4q9oUmW1yo/edit?usp=sharing"",""ตาก!I475"")"),220)</f>
        <v>220</v>
      </c>
      <c r="J580" s="370">
        <f ca="1">IFERROR(__xludf.DUMMYFUNCTION("IMPORTRANGE(""https://docs.google.com/spreadsheets/d/11923uPwbBZFjjGgGUA6NLw09EwE0CqkOc4q9oUmW1yo/edit?usp=sharing"",""ตาก!J475"")"),0)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IFERROR(__xludf.DUMMYFUNCTION("IMPORTRANGE(""https://docs.google.com/spreadsheets/d/11923uPwbBZFjjGgGUA6NLw09EwE0CqkOc4q9oUmW1yo/edit?usp=sharing"",""ตาก!L475"")"),370020)</f>
        <v>370020</v>
      </c>
      <c r="M580" s="372"/>
      <c r="N580" s="372">
        <f ca="1">IFERROR(__xludf.DUMMYFUNCTION("IMPORTRANGE(""https://docs.google.com/spreadsheets/d/11923uPwbBZFjjGgGUA6NLw09EwE0CqkOc4q9oUmW1yo/edit?usp=sharing"",""ตาก!M475"")"),164390.25)</f>
        <v>164390.25</v>
      </c>
      <c r="O580" s="372">
        <f t="shared" ref="O580:O584" ca="1" si="124">+IF(L580&gt;0,N580*100/L580,0)</f>
        <v>44.427395816442356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IFERROR(__xludf.DUMMYFUNCTION("IMPORTRANGE(""https://docs.google.com/spreadsheets/d/11923uPwbBZFjjGgGUA6NLw09EwE0CqkOc4q9oUmW1yo/edit?usp=sharing"",""ตาก!L476"")"),0)</f>
        <v>0</v>
      </c>
      <c r="M581" s="164"/>
      <c r="N581" s="168">
        <f ca="1">IFERROR(__xludf.DUMMYFUNCTION("IMPORTRANGE(""https://docs.google.com/spreadsheets/d/11923uPwbBZFjjGgGUA6NLw09EwE0CqkOc4q9oUmW1yo/edit?usp=sharing"",""ตาก!M476"")"),0)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IFERROR(__xludf.DUMMYFUNCTION("IMPORTRANGE(""https://docs.google.com/spreadsheets/d/11923uPwbBZFjjGgGUA6NLw09EwE0CqkOc4q9oUmW1yo/edit?usp=sharing"",""ตาก!L477"")"),370020)</f>
        <v>370020</v>
      </c>
      <c r="M582" s="165"/>
      <c r="N582" s="168">
        <f ca="1">IFERROR(__xludf.DUMMYFUNCTION("IMPORTRANGE(""https://docs.google.com/spreadsheets/d/11923uPwbBZFjjGgGUA6NLw09EwE0CqkOc4q9oUmW1yo/edit?usp=sharing"",""ตาก!M477"")"),164390.25)</f>
        <v>164390.25</v>
      </c>
      <c r="O582" s="168">
        <f t="shared" ca="1" si="124"/>
        <v>44.427395816442356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IFERROR(__xludf.DUMMYFUNCTION("IMPORTRANGE(""https://docs.google.com/spreadsheets/d/11923uPwbBZFjjGgGUA6NLw09EwE0CqkOc4q9oUmW1yo/edit?usp=sharing"",""ตาก!L478"")"),0)</f>
        <v>0</v>
      </c>
      <c r="M583" s="168"/>
      <c r="N583" s="168">
        <f ca="1">IFERROR(__xludf.DUMMYFUNCTION("IMPORTRANGE(""https://docs.google.com/spreadsheets/d/11923uPwbBZFjjGgGUA6NLw09EwE0CqkOc4q9oUmW1yo/edit?usp=sharing"",""ตาก!M478"")"),0)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IFERROR(__xludf.DUMMYFUNCTION("IMPORTRANGE(""https://docs.google.com/spreadsheets/d/11923uPwbBZFjjGgGUA6NLw09EwE0CqkOc4q9oUmW1yo/edit?usp=sharing"",""ตาก!L479"")"),370020)</f>
        <v>370020</v>
      </c>
      <c r="M584" s="168"/>
      <c r="N584" s="168">
        <f ca="1">IFERROR(__xludf.DUMMYFUNCTION("IMPORTRANGE(""https://docs.google.com/spreadsheets/d/11923uPwbBZFjjGgGUA6NLw09EwE0CqkOc4q9oUmW1yo/edit?usp=sharing"",""ตาก!M479"")"),164390.25)</f>
        <v>164390.25</v>
      </c>
      <c r="O584" s="168">
        <f t="shared" ca="1" si="124"/>
        <v>44.427395816442356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IFERROR(__xludf.DUMMYFUNCTION("IMPORTRANGE(""https://docs.google.com/spreadsheets/d/11923uPwbBZFjjGgGUA6NLw09EwE0CqkOc4q9oUmW1yo/edit?usp=sharing"",""ตาก!M480"")"),0)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IFERROR(__xludf.DUMMYFUNCTION("IMPORTRANGE(""https://docs.google.com/spreadsheets/d/11923uPwbBZFjjGgGUA6NLw09EwE0CqkOc4q9oUmW1yo/edit?usp=sharing"",""ตาก!M481"")"),0)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IFERROR(__xludf.DUMMYFUNCTION("IMPORTRANGE(""https://docs.google.com/spreadsheets/d/11923uPwbBZFjjGgGUA6NLw09EwE0CqkOc4q9oUmW1yo/edit?usp=sharing"",""ตาก!M482"")"),65266)</f>
        <v>65266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IFERROR(__xludf.DUMMYFUNCTION("IMPORTRANGE(""https://docs.google.com/spreadsheets/d/11923uPwbBZFjjGgGUA6NLw09EwE0CqkOc4q9oUmW1yo/edit?usp=sharing"",""ตาก!M483"")"),99124.25)</f>
        <v>99124.25</v>
      </c>
      <c r="O588" s="168"/>
      <c r="P588" s="168"/>
    </row>
    <row r="589" spans="1:16" ht="21.75" customHeight="1" x14ac:dyDescent="0.3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IFERROR(__xludf.DUMMYFUNCTION("IMPORTRANGE(""https://docs.google.com/spreadsheets/d/11923uPwbBZFjjGgGUA6NLw09EwE0CqkOc4q9oUmW1yo/edit?usp=sharing"",""ตาก!I484"")"),220)</f>
        <v>220</v>
      </c>
      <c r="J589" s="187">
        <f ca="1">IFERROR(__xludf.DUMMYFUNCTION("IMPORTRANGE(""https://docs.google.com/spreadsheets/d/11923uPwbBZFjjGgGUA6NLw09EwE0CqkOc4q9oUmW1yo/edit?usp=sharing"",""ตาก!J484"")"),0)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IFERROR(__xludf.DUMMYFUNCTION("IMPORTRANGE(""https://docs.google.com/spreadsheets/d/11923uPwbBZFjjGgGUA6NLw09EwE0CqkOc4q9oUmW1yo/edit?usp=sharing"",""ตาก!I485"")"),0)</f>
        <v>0</v>
      </c>
      <c r="J590" s="187">
        <f ca="1">IFERROR(__xludf.DUMMYFUNCTION("IMPORTRANGE(""https://docs.google.com/spreadsheets/d/11923uPwbBZFjjGgGUA6NLw09EwE0CqkOc4q9oUmW1yo/edit?usp=sharing"",""ตาก!J485"")"),0)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IFERROR(__xludf.DUMMYFUNCTION("IMPORTRANGE(""https://docs.google.com/spreadsheets/d/11923uPwbBZFjjGgGUA6NLw09EwE0CqkOc4q9oUmW1yo/edit?usp=sharing"",""ตาก!I486"")"),220)</f>
        <v>220</v>
      </c>
      <c r="J591" s="187">
        <f ca="1">IFERROR(__xludf.DUMMYFUNCTION("IMPORTRANGE(""https://docs.google.com/spreadsheets/d/11923uPwbBZFjjGgGUA6NLw09EwE0CqkOc4q9oUmW1yo/edit?usp=sharing"",""ตาก!J486"")"),0)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IFERROR(__xludf.DUMMYFUNCTION("IMPORTRANGE(""https://docs.google.com/spreadsheets/d/11923uPwbBZFjjGgGUA6NLw09EwE0CqkOc4q9oUmW1yo/edit?usp=sharing"",""ตาก!I487"")"),0)</f>
        <v>0</v>
      </c>
      <c r="J592" s="187">
        <f ca="1">IFERROR(__xludf.DUMMYFUNCTION("IMPORTRANGE(""https://docs.google.com/spreadsheets/d/11923uPwbBZFjjGgGUA6NLw09EwE0CqkOc4q9oUmW1yo/edit?usp=sharing"",""ตาก!J487"")"),0)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IFERROR(__xludf.DUMMYFUNCTION("IMPORTRANGE(""https://docs.google.com/spreadsheets/d/11923uPwbBZFjjGgGUA6NLw09EwE0CqkOc4q9oUmW1yo/edit?usp=sharing"",""ตาก!I488"")"),220)</f>
        <v>220</v>
      </c>
      <c r="J593" s="187">
        <f ca="1">IFERROR(__xludf.DUMMYFUNCTION("IMPORTRANGE(""https://docs.google.com/spreadsheets/d/11923uPwbBZFjjGgGUA6NLw09EwE0CqkOc4q9oUmW1yo/edit?usp=sharing"",""ตาก!J488"")"),0)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IFERROR(__xludf.DUMMYFUNCTION("IMPORTRANGE(""https://docs.google.com/spreadsheets/d/11923uPwbBZFjjGgGUA6NLw09EwE0CqkOc4q9oUmW1yo/edit?usp=sharing"",""ตาก!I489"")"),0)</f>
        <v>0</v>
      </c>
      <c r="J594" s="187">
        <f ca="1">IFERROR(__xludf.DUMMYFUNCTION("IMPORTRANGE(""https://docs.google.com/spreadsheets/d/11923uPwbBZFjjGgGUA6NLw09EwE0CqkOc4q9oUmW1yo/edit?usp=sharing"",""ตาก!J489"")"),0)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IFERROR(__xludf.DUMMYFUNCTION("IMPORTRANGE(""https://docs.google.com/spreadsheets/d/11923uPwbBZFjjGgGUA6NLw09EwE0CqkOc4q9oUmW1yo/edit?usp=sharing"",""ตาก!I490"")"),220)</f>
        <v>220</v>
      </c>
      <c r="J595" s="187">
        <f ca="1">IFERROR(__xludf.DUMMYFUNCTION("IMPORTRANGE(""https://docs.google.com/spreadsheets/d/11923uPwbBZFjjGgGUA6NLw09EwE0CqkOc4q9oUmW1yo/edit?usp=sharing"",""ตาก!J490"")"),0)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IFERROR(__xludf.DUMMYFUNCTION("IMPORTRANGE(""https://docs.google.com/spreadsheets/d/11923uPwbBZFjjGgGUA6NLw09EwE0CqkOc4q9oUmW1yo/edit?usp=sharing"",""ตาก!I491"")"),0)</f>
        <v>0</v>
      </c>
      <c r="J596" s="241">
        <f ca="1">IFERROR(__xludf.DUMMYFUNCTION("IMPORTRANGE(""https://docs.google.com/spreadsheets/d/11923uPwbBZFjjGgGUA6NLw09EwE0CqkOc4q9oUmW1yo/edit?usp=sharing"",""ตาก!J491"")"),0)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IFERROR(__xludf.DUMMYFUNCTION("IMPORTRANGE(""https://docs.google.com/spreadsheets/d/11923uPwbBZFjjGgGUA6NLw09EwE0CqkOc4q9oUmW1yo/edit?usp=sharing"",""ตาก!I492"")"),100)</f>
        <v>100</v>
      </c>
      <c r="J597" s="487">
        <f ca="1">IFERROR(__xludf.DUMMYFUNCTION("IMPORTRANGE(""https://docs.google.com/spreadsheets/d/11923uPwbBZFjjGgGUA6NLw09EwE0CqkOc4q9oUmW1yo/edit?usp=sharing"",""ตาก!J492"")"),0)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IFERROR(__xludf.DUMMYFUNCTION("IMPORTRANGE(""https://docs.google.com/spreadsheets/d/11923uPwbBZFjjGgGUA6NLw09EwE0CqkOc4q9oUmW1yo/edit?usp=sharing"",""ตาก!L492"")"),8100)</f>
        <v>8100</v>
      </c>
      <c r="M597" s="411"/>
      <c r="N597" s="411">
        <f ca="1">IFERROR(__xludf.DUMMYFUNCTION("IMPORTRANGE(""https://docs.google.com/spreadsheets/d/11923uPwbBZFjjGgGUA6NLw09EwE0CqkOc4q9oUmW1yo/edit?usp=sharing"",""ตาก!M492"")"),800)</f>
        <v>800</v>
      </c>
      <c r="O597" s="411">
        <f t="shared" ref="O597:O601" ca="1" si="126">+IF(L597&gt;0,N597*100/L597,0)</f>
        <v>9.8765432098765427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IFERROR(__xludf.DUMMYFUNCTION("IMPORTRANGE(""https://docs.google.com/spreadsheets/d/11923uPwbBZFjjGgGUA6NLw09EwE0CqkOc4q9oUmW1yo/edit?usp=sharing"",""ตาก!L493"")"),0)</f>
        <v>0</v>
      </c>
      <c r="M598" s="164"/>
      <c r="N598" s="168">
        <f ca="1">IFERROR(__xludf.DUMMYFUNCTION("IMPORTRANGE(""https://docs.google.com/spreadsheets/d/11923uPwbBZFjjGgGUA6NLw09EwE0CqkOc4q9oUmW1yo/edit?usp=sharing"",""ตาก!M493"")"),0)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IFERROR(__xludf.DUMMYFUNCTION("IMPORTRANGE(""https://docs.google.com/spreadsheets/d/11923uPwbBZFjjGgGUA6NLw09EwE0CqkOc4q9oUmW1yo/edit?usp=sharing"",""ตาก!L494"")"),8100)</f>
        <v>8100</v>
      </c>
      <c r="M599" s="165"/>
      <c r="N599" s="168">
        <f ca="1">IFERROR(__xludf.DUMMYFUNCTION("IMPORTRANGE(""https://docs.google.com/spreadsheets/d/11923uPwbBZFjjGgGUA6NLw09EwE0CqkOc4q9oUmW1yo/edit?usp=sharing"",""ตาก!M494"")"),800)</f>
        <v>800</v>
      </c>
      <c r="O599" s="168">
        <f t="shared" ca="1" si="126"/>
        <v>9.8765432098765427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IFERROR(__xludf.DUMMYFUNCTION("IMPORTRANGE(""https://docs.google.com/spreadsheets/d/11923uPwbBZFjjGgGUA6NLw09EwE0CqkOc4q9oUmW1yo/edit?usp=sharing"",""ตาก!L495"")"),0)</f>
        <v>0</v>
      </c>
      <c r="M600" s="168"/>
      <c r="N600" s="168">
        <f ca="1">IFERROR(__xludf.DUMMYFUNCTION("IMPORTRANGE(""https://docs.google.com/spreadsheets/d/11923uPwbBZFjjGgGUA6NLw09EwE0CqkOc4q9oUmW1yo/edit?usp=sharing"",""ตาก!M495"")"),0)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IFERROR(__xludf.DUMMYFUNCTION("IMPORTRANGE(""https://docs.google.com/spreadsheets/d/11923uPwbBZFjjGgGUA6NLw09EwE0CqkOc4q9oUmW1yo/edit?usp=sharing"",""ตาก!L496"")"),8100)</f>
        <v>8100</v>
      </c>
      <c r="M601" s="168"/>
      <c r="N601" s="168">
        <f ca="1">IFERROR(__xludf.DUMMYFUNCTION("IMPORTRANGE(""https://docs.google.com/spreadsheets/d/11923uPwbBZFjjGgGUA6NLw09EwE0CqkOc4q9oUmW1yo/edit?usp=sharing"",""ตาก!M496"")"),800)</f>
        <v>800</v>
      </c>
      <c r="O601" s="168">
        <f t="shared" ca="1" si="126"/>
        <v>9.8765432098765427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IFERROR(__xludf.DUMMYFUNCTION("IMPORTRANGE(""https://docs.google.com/spreadsheets/d/11923uPwbBZFjjGgGUA6NLw09EwE0CqkOc4q9oUmW1yo/edit?usp=sharing"",""ตาก!M497"")"),0)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IFERROR(__xludf.DUMMYFUNCTION("IMPORTRANGE(""https://docs.google.com/spreadsheets/d/11923uPwbBZFjjGgGUA6NLw09EwE0CqkOc4q9oUmW1yo/edit?usp=sharing"",""ตาก!M498"")"),0)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IFERROR(__xludf.DUMMYFUNCTION("IMPORTRANGE(""https://docs.google.com/spreadsheets/d/11923uPwbBZFjjGgGUA6NLw09EwE0CqkOc4q9oUmW1yo/edit?usp=sharing"",""ตาก!M499"")"),0)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IFERROR(__xludf.DUMMYFUNCTION("IMPORTRANGE(""https://docs.google.com/spreadsheets/d/11923uPwbBZFjjGgGUA6NLw09EwE0CqkOc4q9oUmW1yo/edit?usp=sharing"",""ตาก!M500"")"),800)</f>
        <v>800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IFERROR(__xludf.DUMMYFUNCTION("IMPORTRANGE(""https://docs.google.com/spreadsheets/d/11923uPwbBZFjjGgGUA6NLw09EwE0CqkOc4q9oUmW1yo/edit?usp=sharing"",""ตาก!J502"")"),0)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IFERROR(__xludf.DUMMYFUNCTION("IMPORTRANGE(""https://docs.google.com/spreadsheets/d/11923uPwbBZFjjGgGUA6NLw09EwE0CqkOc4q9oUmW1yo/edit?usp=sharing"",""ตาก!J503"")"),1)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IFERROR(__xludf.DUMMYFUNCTION("IMPORTRANGE(""https://docs.google.com/spreadsheets/d/11923uPwbBZFjjGgGUA6NLw09EwE0CqkOc4q9oUmW1yo/edit?usp=sharing"",""ตาก!J166"")"),0)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IFERROR(__xludf.DUMMYFUNCTION("IMPORTRANGE(""https://docs.google.com/spreadsheets/d/11923uPwbBZFjjGgGUA6NLw09EwE0CqkOc4q9oUmW1yo/edit?usp=sharing"",""ตาก!J166"")"),0)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IFERROR(__xludf.DUMMYFUNCTION("IMPORTRANGE(""https://docs.google.com/spreadsheets/d/11923uPwbBZFjjGgGUA6NLw09EwE0CqkOc4q9oUmW1yo/edit?usp=sharing"",""ตาก!I506"")"),100)</f>
        <v>100</v>
      </c>
      <c r="J611" s="162">
        <f ca="1">IFERROR(__xludf.DUMMYFUNCTION("IMPORTRANGE(""https://docs.google.com/spreadsheets/d/11923uPwbBZFjjGgGUA6NLw09EwE0CqkOc4q9oUmW1yo/edit?usp=sharing"",""ตาก!J506"")"),0)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IFERROR(__xludf.DUMMYFUNCTION("IMPORTRANGE(""https://docs.google.com/spreadsheets/d/11923uPwbBZFjjGgGUA6NLw09EwE0CqkOc4q9oUmW1yo/edit?usp=sharing"",""ตาก!I507"")"),0)</f>
        <v>0</v>
      </c>
      <c r="J612" s="197">
        <f ca="1">IFERROR(__xludf.DUMMYFUNCTION("IMPORTRANGE(""https://docs.google.com/spreadsheets/d/11923uPwbBZFjjGgGUA6NLw09EwE0CqkOc4q9oUmW1yo/edit?usp=sharing"",""ตาก!J507"")"),0)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IFERROR(__xludf.DUMMYFUNCTION("IMPORTRANGE(""https://docs.google.com/spreadsheets/d/11923uPwbBZFjjGgGUA6NLw09EwE0CqkOc4q9oUmW1yo/edit?usp=sharing"",""ตาก!I508"")"),0)</f>
        <v>0</v>
      </c>
      <c r="J613" s="197">
        <f ca="1">IFERROR(__xludf.DUMMYFUNCTION("IMPORTRANGE(""https://docs.google.com/spreadsheets/d/11923uPwbBZFjjGgGUA6NLw09EwE0CqkOc4q9oUmW1yo/edit?usp=sharing"",""ตาก!J508"")"),0)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IFERROR(__xludf.DUMMYFUNCTION("IMPORTRANGE(""https://docs.google.com/spreadsheets/d/11923uPwbBZFjjGgGUA6NLw09EwE0CqkOc4q9oUmW1yo/edit?usp=sharing"",""ตาก!I509"")"),0)</f>
        <v>0</v>
      </c>
      <c r="J614" s="197">
        <f ca="1">IFERROR(__xludf.DUMMYFUNCTION("IMPORTRANGE(""https://docs.google.com/spreadsheets/d/11923uPwbBZFjjGgGUA6NLw09EwE0CqkOc4q9oUmW1yo/edit?usp=sharing"",""ตาก!J509"")"),0)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IFERROR(__xludf.DUMMYFUNCTION("IMPORTRANGE(""https://docs.google.com/spreadsheets/d/11923uPwbBZFjjGgGUA6NLw09EwE0CqkOc4q9oUmW1yo/edit?usp=sharing"",""ตาก!I510"")"),0)</f>
        <v>0</v>
      </c>
      <c r="J615" s="197">
        <f ca="1">IFERROR(__xludf.DUMMYFUNCTION("IMPORTRANGE(""https://docs.google.com/spreadsheets/d/11923uPwbBZFjjGgGUA6NLw09EwE0CqkOc4q9oUmW1yo/edit?usp=sharing"",""ตาก!J510"")"),0)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IFERROR(__xludf.DUMMYFUNCTION("IMPORTRANGE(""https://docs.google.com/spreadsheets/d/11923uPwbBZFjjGgGUA6NLw09EwE0CqkOc4q9oUmW1yo/edit?usp=sharing"",""ตาก!I511"")"),0)</f>
        <v>0</v>
      </c>
      <c r="J616" s="197">
        <f ca="1">IFERROR(__xludf.DUMMYFUNCTION("IMPORTRANGE(""https://docs.google.com/spreadsheets/d/11923uPwbBZFjjGgGUA6NLw09EwE0CqkOc4q9oUmW1yo/edit?usp=sharing"",""ตาก!J511"")"),0)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IFERROR(__xludf.DUMMYFUNCTION("IMPORTRANGE(""https://docs.google.com/spreadsheets/d/11923uPwbBZFjjGgGUA6NLw09EwE0CqkOc4q9oUmW1yo/edit?usp=sharing"",""ตาก!I512"")"),0)</f>
        <v>0</v>
      </c>
      <c r="J617" s="187">
        <f ca="1">IFERROR(__xludf.DUMMYFUNCTION("IMPORTRANGE(""https://docs.google.com/spreadsheets/d/11923uPwbBZFjjGgGUA6NLw09EwE0CqkOc4q9oUmW1yo/edit?usp=sharing"",""ตาก!J512"")"),0)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IFERROR(__xludf.DUMMYFUNCTION("IMPORTRANGE(""https://docs.google.com/spreadsheets/d/11923uPwbBZFjjGgGUA6NLw09EwE0CqkOc4q9oUmW1yo/edit?usp=sharing"",""ตาก!I513"")"),0)</f>
        <v>0</v>
      </c>
      <c r="J618" s="188">
        <f ca="1">IFERROR(__xludf.DUMMYFUNCTION("IMPORTRANGE(""https://docs.google.com/spreadsheets/d/11923uPwbBZFjjGgGUA6NLw09EwE0CqkOc4q9oUmW1yo/edit?usp=sharing"",""ตาก!J513"")"),0)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IFERROR(__xludf.DUMMYFUNCTION("IMPORTRANGE(""https://docs.google.com/spreadsheets/d/11923uPwbBZFjjGgGUA6NLw09EwE0CqkOc4q9oUmW1yo/edit?usp=sharing"",""ตาก!I514"")"),0)</f>
        <v>0</v>
      </c>
      <c r="J619" s="188">
        <f ca="1">IFERROR(__xludf.DUMMYFUNCTION("IMPORTRANGE(""https://docs.google.com/spreadsheets/d/11923uPwbBZFjjGgGUA6NLw09EwE0CqkOc4q9oUmW1yo/edit?usp=sharing"",""ตาก!J514"")"),0)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IFERROR(__xludf.DUMMYFUNCTION("IMPORTRANGE(""https://docs.google.com/spreadsheets/d/11923uPwbBZFjjGgGUA6NLw09EwE0CqkOc4q9oUmW1yo/edit?usp=sharing"",""ตาก!I515"")"),0)</f>
        <v>0</v>
      </c>
      <c r="J620" s="202">
        <f ca="1">IFERROR(__xludf.DUMMYFUNCTION("IMPORTRANGE(""https://docs.google.com/spreadsheets/d/11923uPwbBZFjjGgGUA6NLw09EwE0CqkOc4q9oUmW1yo/edit?usp=sharing"",""ตาก!J515"")"),0)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IFERROR(__xludf.DUMMYFUNCTION("IMPORTRANGE(""https://docs.google.com/spreadsheets/d/11923uPwbBZFjjGgGUA6NLw09EwE0CqkOc4q9oUmW1yo/edit?usp=sharing"",""ตาก!I516"")"),0)</f>
        <v>0</v>
      </c>
      <c r="J621" s="202">
        <f ca="1">IFERROR(__xludf.DUMMYFUNCTION("IMPORTRANGE(""https://docs.google.com/spreadsheets/d/11923uPwbBZFjjGgGUA6NLw09EwE0CqkOc4q9oUmW1yo/edit?usp=sharing"",""ตาก!J516"")"),0)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IFERROR(__xludf.DUMMYFUNCTION("IMPORTRANGE(""https://docs.google.com/spreadsheets/d/11923uPwbBZFjjGgGUA6NLw09EwE0CqkOc4q9oUmW1yo/edit?usp=sharing"",""ตาก!I517"")"),0)</f>
        <v>0</v>
      </c>
      <c r="J622" s="188">
        <f ca="1">IFERROR(__xludf.DUMMYFUNCTION("IMPORTRANGE(""https://docs.google.com/spreadsheets/d/11923uPwbBZFjjGgGUA6NLw09EwE0CqkOc4q9oUmW1yo/edit?usp=sharing"",""ตาก!J517"")"),0)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IFERROR(__xludf.DUMMYFUNCTION("IMPORTRANGE(""https://docs.google.com/spreadsheets/d/11923uPwbBZFjjGgGUA6NLw09EwE0CqkOc4q9oUmW1yo/edit?usp=sharing"",""ตาก!I518"")"),0)</f>
        <v>0</v>
      </c>
      <c r="J623" s="188">
        <f ca="1">IFERROR(__xludf.DUMMYFUNCTION("IMPORTRANGE(""https://docs.google.com/spreadsheets/d/11923uPwbBZFjjGgGUA6NLw09EwE0CqkOc4q9oUmW1yo/edit?usp=sharing"",""ตาก!J518"")"),0)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IFERROR(__xludf.DUMMYFUNCTION("IMPORTRANGE(""https://docs.google.com/spreadsheets/d/11923uPwbBZFjjGgGUA6NLw09EwE0CqkOc4q9oUmW1yo/edit?usp=sharing"",""ตาก!I519"")"),0)</f>
        <v>0</v>
      </c>
      <c r="J624" s="187">
        <f ca="1">IFERROR(__xludf.DUMMYFUNCTION("IMPORTRANGE(""https://docs.google.com/spreadsheets/d/11923uPwbBZFjjGgGUA6NLw09EwE0CqkOc4q9oUmW1yo/edit?usp=sharing"",""ตาก!J519"")"),0)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IFERROR(__xludf.DUMMYFUNCTION("IMPORTRANGE(""https://docs.google.com/spreadsheets/d/11923uPwbBZFjjGgGUA6NLw09EwE0CqkOc4q9oUmW1yo/edit?usp=sharing"",""ตาก!I520"")"),0)</f>
        <v>0</v>
      </c>
      <c r="J625" s="188">
        <f ca="1">IFERROR(__xludf.DUMMYFUNCTION("IMPORTRANGE(""https://docs.google.com/spreadsheets/d/11923uPwbBZFjjGgGUA6NLw09EwE0CqkOc4q9oUmW1yo/edit?usp=sharing"",""ตาก!J520"")"),0)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IFERROR(__xludf.DUMMYFUNCTION("IMPORTRANGE(""https://docs.google.com/spreadsheets/d/11923uPwbBZFjjGgGUA6NLw09EwE0CqkOc4q9oUmW1yo/edit?usp=sharing"",""ตาก!I521"")"),0)</f>
        <v>0</v>
      </c>
      <c r="J626" s="188">
        <f ca="1">IFERROR(__xludf.DUMMYFUNCTION("IMPORTRANGE(""https://docs.google.com/spreadsheets/d/11923uPwbBZFjjGgGUA6NLw09EwE0CqkOc4q9oUmW1yo/edit?usp=sharing"",""ตาก!J521"")"),0)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IFERROR(__xludf.DUMMYFUNCTION("IMPORTRANGE(""https://docs.google.com/spreadsheets/d/11923uPwbBZFjjGgGUA6NLw09EwE0CqkOc4q9oUmW1yo/edit?usp=sharing"",""ตาก!I523"")"),2024605.17)</f>
        <v>2024605.17</v>
      </c>
      <c r="J628" s="341">
        <f ca="1">IFERROR(__xludf.DUMMYFUNCTION("IMPORTRANGE(""https://docs.google.com/spreadsheets/d/11923uPwbBZFjjGgGUA6NLw09EwE0CqkOc4q9oUmW1yo/edit?usp=sharing"",""ตาก!J523"")"),1408281.56)</f>
        <v>1408281.56</v>
      </c>
      <c r="K628" s="342">
        <f t="shared" ref="K628:K635" ca="1" si="129">IF(I628&gt;0,J628*100/I628,0)</f>
        <v>69.55833072381219</v>
      </c>
      <c r="L628" s="342"/>
      <c r="M628" s="342"/>
      <c r="N628" s="342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IFERROR(__xludf.DUMMYFUNCTION("IMPORTRANGE(""https://docs.google.com/spreadsheets/d/11923uPwbBZFjjGgGUA6NLw09EwE0CqkOc4q9oUmW1yo/edit?usp=sharing"",""ตาก!I524"")"),177)</f>
        <v>177</v>
      </c>
      <c r="J629" s="341">
        <f ca="1">IFERROR(__xludf.DUMMYFUNCTION("IMPORTRANGE(""https://docs.google.com/spreadsheets/d/11923uPwbBZFjjGgGUA6NLw09EwE0CqkOc4q9oUmW1yo/edit?usp=sharing"",""ตาก!J524"")"),128)</f>
        <v>128</v>
      </c>
      <c r="K629" s="342">
        <f t="shared" ca="1" si="129"/>
        <v>72.316384180790962</v>
      </c>
      <c r="L629" s="342"/>
      <c r="M629" s="342"/>
      <c r="N629" s="342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IFERROR(__xludf.DUMMYFUNCTION("IMPORTRANGE(""https://docs.google.com/spreadsheets/d/11923uPwbBZFjjGgGUA6NLw09EwE0CqkOc4q9oUmW1yo/edit?usp=sharing"",""ตาก!I525"")"),7699315.18)</f>
        <v>7699315.1799999997</v>
      </c>
      <c r="J630" s="341">
        <f ca="1">IFERROR(__xludf.DUMMYFUNCTION("IMPORTRANGE(""https://docs.google.com/spreadsheets/d/11923uPwbBZFjjGgGUA6NLw09EwE0CqkOc4q9oUmW1yo/edit?usp=sharing"",""ตาก!J525"")"),476216.7)</f>
        <v>476216.7</v>
      </c>
      <c r="K630" s="342">
        <f t="shared" ca="1" si="129"/>
        <v>6.1851825632107715</v>
      </c>
      <c r="L630" s="342"/>
      <c r="M630" s="342"/>
      <c r="N630" s="342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IFERROR(__xludf.DUMMYFUNCTION("IMPORTRANGE(""https://docs.google.com/spreadsheets/d/11923uPwbBZFjjGgGUA6NLw09EwE0CqkOc4q9oUmW1yo/edit?usp=sharing"",""ตาก!I526"")"),292)</f>
        <v>292</v>
      </c>
      <c r="J631" s="341">
        <f ca="1">IFERROR(__xludf.DUMMYFUNCTION("IMPORTRANGE(""https://docs.google.com/spreadsheets/d/11923uPwbBZFjjGgGUA6NLw09EwE0CqkOc4q9oUmW1yo/edit?usp=sharing"",""ตาก!J526"")"),163)</f>
        <v>163</v>
      </c>
      <c r="K631" s="342">
        <f t="shared" ca="1" si="129"/>
        <v>55.821917808219176</v>
      </c>
      <c r="L631" s="342"/>
      <c r="M631" s="342"/>
      <c r="N631" s="342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IFERROR(__xludf.DUMMYFUNCTION("IMPORTRANGE(""https://docs.google.com/spreadsheets/d/11923uPwbBZFjjGgGUA6NLw09EwE0CqkOc4q9oUmW1yo/edit?usp=sharing"",""ตาก!I527"")"),0)</f>
        <v>0</v>
      </c>
      <c r="J632" s="341">
        <f ca="1">IFERROR(__xludf.DUMMYFUNCTION("IMPORTRANGE(""https://docs.google.com/spreadsheets/d/11923uPwbBZFjjGgGUA6NLw09EwE0CqkOc4q9oUmW1yo/edit?usp=sharing"",""ตาก!J527"")"),0)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IFERROR(__xludf.DUMMYFUNCTION("IMPORTRANGE(""https://docs.google.com/spreadsheets/d/11923uPwbBZFjjGgGUA6NLw09EwE0CqkOc4q9oUmW1yo/edit?usp=sharing"",""ตาก!I528"")"),0)</f>
        <v>0</v>
      </c>
      <c r="J633" s="341">
        <f ca="1">IFERROR(__xludf.DUMMYFUNCTION("IMPORTRANGE(""https://docs.google.com/spreadsheets/d/11923uPwbBZFjjGgGUA6NLw09EwE0CqkOc4q9oUmW1yo/edit?usp=sharing"",""ตาก!J528"")"),0)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IFERROR(__xludf.DUMMYFUNCTION("IMPORTRANGE(""https://docs.google.com/spreadsheets/d/11923uPwbBZFjjGgGUA6NLw09EwE0CqkOc4q9oUmW1yo/edit?usp=sharing"",""ตาก!I529"")"),3000000)</f>
        <v>3000000</v>
      </c>
      <c r="J634" s="341">
        <f ca="1">IFERROR(__xludf.DUMMYFUNCTION("IMPORTRANGE(""https://docs.google.com/spreadsheets/d/11923uPwbBZFjjGgGUA6NLw09EwE0CqkOc4q9oUmW1yo/edit?usp=sharing"",""ตาก!J529"")"),1285000)</f>
        <v>1285000</v>
      </c>
      <c r="K634" s="342">
        <f t="shared" ca="1" si="129"/>
        <v>42.833333333333336</v>
      </c>
      <c r="L634" s="342"/>
      <c r="M634" s="342"/>
      <c r="N634" s="342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IFERROR(__xludf.DUMMYFUNCTION("IMPORTRANGE(""https://docs.google.com/spreadsheets/d/11923uPwbBZFjjGgGUA6NLw09EwE0CqkOc4q9oUmW1yo/edit?usp=sharing"",""ตาก!I530"")"),100)</f>
        <v>100</v>
      </c>
      <c r="J635" s="504">
        <f ca="1">IFERROR(__xludf.DUMMYFUNCTION("IMPORTRANGE(""https://docs.google.com/spreadsheets/d/11923uPwbBZFjjGgGUA6NLw09EwE0CqkOc4q9oUmW1yo/edit?usp=sharing"",""ตาก!J530"")"),43)</f>
        <v>43</v>
      </c>
      <c r="K635" s="486">
        <f t="shared" ca="1" si="129"/>
        <v>43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5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5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IFERROR(__xludf.DUMMYFUNCTION("IMPORTRANGE(""https://docs.google.com/spreadsheets/d/11923uPwbBZFjjGgGUA6NLw09EwE0CqkOc4q9oUmW1yo/edit?usp=sharing"",""ตาก!J541"")"),0)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5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IFERROR(__xludf.DUMMYFUNCTION("IMPORTRANGE(""https://docs.google.com/spreadsheets/d/11923uPwbBZFjjGgGUA6NLw09EwE0CqkOc4q9oUmW1yo/edit?usp=sharing"",""ตาก!J542"")"),0)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5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IFERROR(__xludf.DUMMYFUNCTION("IMPORTRANGE(""https://docs.google.com/spreadsheets/d/11923uPwbBZFjjGgGUA6NLw09EwE0CqkOc4q9oUmW1yo/edit?usp=sharing"",""ตาก!I543"")"),0)</f>
        <v>0</v>
      </c>
      <c r="J648" s="535">
        <f ca="1">IFERROR(__xludf.DUMMYFUNCTION("IMPORTRANGE(""https://docs.google.com/spreadsheets/d/11923uPwbBZFjjGgGUA6NLw09EwE0CqkOc4q9oUmW1yo/edit?usp=sharing"",""ตาก!J543"")"),0)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IFERROR(__xludf.DUMMYFUNCTION("IMPORTRANGE(""https://docs.google.com/spreadsheets/d/11923uPwbBZFjjGgGUA6NLw09EwE0CqkOc4q9oUmW1yo/edit?usp=sharing"",""ตาก!L543"")"),0)</f>
        <v>0</v>
      </c>
      <c r="M648" s="520"/>
      <c r="N648" s="537">
        <f ca="1">IFERROR(__xludf.DUMMYFUNCTION("IMPORTRANGE(""https://docs.google.com/spreadsheets/d/11923uPwbBZFjjGgGUA6NLw09EwE0CqkOc4q9oUmW1yo/edit?usp=sharing"",""ตาก!M543"")"),0)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5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IFERROR(__xludf.DUMMYFUNCTION("IMPORTRANGE(""https://docs.google.com/spreadsheets/d/11923uPwbBZFjjGgGUA6NLw09EwE0CqkOc4q9oUmW1yo/edit?usp=sharing"",""ตาก!I544"")"),0)</f>
        <v>0</v>
      </c>
      <c r="J649" s="535">
        <f ca="1">IFERROR(__xludf.DUMMYFUNCTION("IMPORTRANGE(""https://docs.google.com/spreadsheets/d/11923uPwbBZFjjGgGUA6NLw09EwE0CqkOc4q9oUmW1yo/edit?usp=sharing"",""ตาก!J544"")"),0)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IFERROR(__xludf.DUMMYFUNCTION("IMPORTRANGE(""https://docs.google.com/spreadsheets/d/11923uPwbBZFjjGgGUA6NLw09EwE0CqkOc4q9oUmW1yo/edit?usp=sharing"",""ตาก!L544"")"),0)</f>
        <v>0</v>
      </c>
      <c r="M649" s="520"/>
      <c r="N649" s="537">
        <f ca="1">IFERROR(__xludf.DUMMYFUNCTION("IMPORTRANGE(""https://docs.google.com/spreadsheets/d/11923uPwbBZFjjGgGUA6NLw09EwE0CqkOc4q9oUmW1yo/edit?usp=sharing"",""ตาก!M544"")"),0)</f>
        <v>0</v>
      </c>
      <c r="O649" s="536">
        <f t="shared" ca="1" si="132"/>
        <v>0</v>
      </c>
      <c r="P649" s="536"/>
    </row>
    <row r="650" spans="1:16" ht="21.75" customHeight="1" x14ac:dyDescent="0.45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IFERROR(__xludf.DUMMYFUNCTION("IMPORTRANGE(""https://docs.google.com/spreadsheets/d/11923uPwbBZFjjGgGUA6NLw09EwE0CqkOc4q9oUmW1yo/edit?usp=sharing"",""ตาก!I545"")"),0)</f>
        <v>0</v>
      </c>
      <c r="J650" s="535">
        <f ca="1">IFERROR(__xludf.DUMMYFUNCTION("IMPORTRANGE(""https://docs.google.com/spreadsheets/d/11923uPwbBZFjjGgGUA6NLw09EwE0CqkOc4q9oUmW1yo/edit?usp=sharing"",""ตาก!J545"")"),0)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IFERROR(__xludf.DUMMYFUNCTION("IMPORTRANGE(""https://docs.google.com/spreadsheets/d/11923uPwbBZFjjGgGUA6NLw09EwE0CqkOc4q9oUmW1yo/edit?usp=sharing"",""ตาก!L545"")"),0)</f>
        <v>0</v>
      </c>
      <c r="M650" s="520"/>
      <c r="N650" s="537">
        <f ca="1">IFERROR(__xludf.DUMMYFUNCTION("IMPORTRANGE(""https://docs.google.com/spreadsheets/d/11923uPwbBZFjjGgGUA6NLw09EwE0CqkOc4q9oUmW1yo/edit?usp=sharing"",""ตาก!M545"")"),0)</f>
        <v>0</v>
      </c>
      <c r="O650" s="536">
        <f t="shared" ca="1" si="132"/>
        <v>0</v>
      </c>
      <c r="P650" s="536"/>
    </row>
    <row r="651" spans="1:16" ht="21.75" customHeight="1" x14ac:dyDescent="0.45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IFERROR(__xludf.DUMMYFUNCTION("IMPORTRANGE(""https://docs.google.com/spreadsheets/d/11923uPwbBZFjjGgGUA6NLw09EwE0CqkOc4q9oUmW1yo/edit?usp=sharing"",""ตาก!I546"")"),0)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IFERROR(__xludf.DUMMYFUNCTION("IMPORTRANGE(""https://docs.google.com/spreadsheets/d/11923uPwbBZFjjGgGUA6NLw09EwE0CqkOc4q9oUmW1yo/edit?usp=sharing"",""ตาก!L546"")"),0)</f>
        <v>0</v>
      </c>
      <c r="M651" s="520"/>
      <c r="N651" s="537">
        <f ca="1">IFERROR(__xludf.DUMMYFUNCTION("IMPORTRANGE(""https://docs.google.com/spreadsheets/d/11923uPwbBZFjjGgGUA6NLw09EwE0CqkOc4q9oUmW1yo/edit?usp=sharing"",""ตาก!M546"")"),0)</f>
        <v>0</v>
      </c>
      <c r="O651" s="536">
        <f t="shared" ca="1" si="132"/>
        <v>0</v>
      </c>
      <c r="P651" s="536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IFERROR(__xludf.DUMMYFUNCTION("IMPORTRANGE(""https://docs.google.com/spreadsheets/d/11923uPwbBZFjjGgGUA6NLw09EwE0CqkOc4q9oUmW1yo/edit?usp=sharing"",""ตาก!J547"")"),0)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IFERROR(__xludf.DUMMYFUNCTION("IMPORTRANGE(""https://docs.google.com/spreadsheets/d/11923uPwbBZFjjGgGUA6NLw09EwE0CqkOc4q9oUmW1yo/edit?usp=sharing"",""ตาก!J548"")"),0)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IFERROR(__xludf.DUMMYFUNCTION("IMPORTRANGE(""https://docs.google.com/spreadsheets/d/11923uPwbBZFjjGgGUA6NLw09EwE0CqkOc4q9oUmW1yo/edit?usp=sharing"",""ตาก!J550"")"),0)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IFERROR(__xludf.DUMMYFUNCTION("IMPORTRANGE(""https://docs.google.com/spreadsheets/d/11923uPwbBZFjjGgGUA6NLw09EwE0CqkOc4q9oUmW1yo/edit?usp=sharing"",""ตาก!J551"")"),0)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IFERROR(__xludf.DUMMYFUNCTION("IMPORTRANGE(""https://docs.google.com/spreadsheets/d/11923uPwbBZFjjGgGUA6NLw09EwE0CqkOc4q9oUmW1yo/edit?usp=sharing"",""ตาก!J552"")"),0)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IFERROR(__xludf.DUMMYFUNCTION("IMPORTRANGE(""https://docs.google.com/spreadsheets/d/11923uPwbBZFjjGgGUA6NLw09EwE0CqkOc4q9oUmW1yo/edit?usp=sharing"",""ตาก!J553"")"),0)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IFERROR(__xludf.DUMMYFUNCTION("IMPORTRANGE(""https://docs.google.com/spreadsheets/d/11923uPwbBZFjjGgGUA6NLw09EwE0CqkOc4q9oUmW1yo/edit?usp=sharing"",""ตาก!J554"")"),0)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IFERROR(__xludf.DUMMYFUNCTION("IMPORTRANGE(""https://docs.google.com/spreadsheets/d/11923uPwbBZFjjGgGUA6NLw09EwE0CqkOc4q9oUmW1yo/edit?usp=sharing"",""ตาก!J555"")"),0)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5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IFERROR(__xludf.DUMMYFUNCTION("IMPORTRANGE(""https://docs.google.com/spreadsheets/d/11923uPwbBZFjjGgGUA6NLw09EwE0CqkOc4q9oUmW1yo/edit?usp=sharing"",""ตาก!J556"")"),0)</f>
        <v>0</v>
      </c>
      <c r="K661" s="536"/>
      <c r="L661" s="521">
        <f ca="1">IFERROR(__xludf.DUMMYFUNCTION("IMPORTRANGE(""https://docs.google.com/spreadsheets/d/11923uPwbBZFjjGgGUA6NLw09EwE0CqkOc4q9oUmW1yo/edit?usp=sharing"",""ตาก!L556"")"),0)</f>
        <v>0</v>
      </c>
      <c r="M661" s="520"/>
      <c r="N661" s="537">
        <f ca="1">IFERROR(__xludf.DUMMYFUNCTION("IMPORTRANGE(""https://docs.google.com/spreadsheets/d/11923uPwbBZFjjGgGUA6NLw09EwE0CqkOc4q9oUmW1yo/edit?usp=sharing"",""ตาก!M556"")"),0)</f>
        <v>0</v>
      </c>
      <c r="O661" s="536">
        <f ca="1">IF(L661&gt;0,N661*100/L661,0)</f>
        <v>0</v>
      </c>
      <c r="P661" s="536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IFERROR(__xludf.DUMMYFUNCTION("IMPORTRANGE(""https://docs.google.com/spreadsheets/d/11923uPwbBZFjjGgGUA6NLw09EwE0CqkOc4q9oUmW1yo/edit?usp=sharing"",""ตาก!J557"")"),0)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IFERROR(__xludf.DUMMYFUNCTION("IMPORTRANGE(""https://docs.google.com/spreadsheets/d/11923uPwbBZFjjGgGUA6NLw09EwE0CqkOc4q9oUmW1yo/edit?usp=sharing"",""ตาก!I558"")"),0)</f>
        <v>0</v>
      </c>
      <c r="J663" s="535">
        <f ca="1">IFERROR(__xludf.DUMMYFUNCTION("IMPORTRANGE(""https://docs.google.com/spreadsheets/d/11923uPwbBZFjjGgGUA6NLw09EwE0CqkOc4q9oUmW1yo/edit?usp=sharing"",""ตาก!J558"")"),0)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5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IFERROR(__xludf.DUMMYFUNCTION("IMPORTRANGE(""https://docs.google.com/spreadsheets/d/11923uPwbBZFjjGgGUA6NLw09EwE0CqkOc4q9oUmW1yo/edit?usp=sharing"",""ตาก!I560"")"),0)</f>
        <v>0</v>
      </c>
      <c r="J665" s="535">
        <f ca="1">IFERROR(__xludf.DUMMYFUNCTION("IMPORTRANGE(""https://docs.google.com/spreadsheets/d/11923uPwbBZFjjGgGUA6NLw09EwE0CqkOc4q9oUmW1yo/edit?usp=sharing"",""ตาก!J560"")"),0)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IFERROR(__xludf.DUMMYFUNCTION("IMPORTRANGE(""https://docs.google.com/spreadsheets/d/11923uPwbBZFjjGgGUA6NLw09EwE0CqkOc4q9oUmW1yo/edit?usp=sharing"",""ตาก!L560"")"),0)</f>
        <v>0</v>
      </c>
      <c r="M665" s="520"/>
      <c r="N665" s="537">
        <f ca="1">IFERROR(__xludf.DUMMYFUNCTION("IMPORTRANGE(""https://docs.google.com/spreadsheets/d/11923uPwbBZFjjGgGUA6NLw09EwE0CqkOc4q9oUmW1yo/edit?usp=sharing"",""ตาก!M560"")"),0)</f>
        <v>0</v>
      </c>
      <c r="O665" s="536">
        <f ca="1">IF(L665&gt;0,N665*100/L665,0)</f>
        <v>0</v>
      </c>
      <c r="P665" s="536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IFERROR(__xludf.DUMMYFUNCTION("IMPORTRANGE(""https://docs.google.com/spreadsheets/d/11923uPwbBZFjjGgGUA6NLw09EwE0CqkOc4q9oUmW1yo/edit?usp=sharing"",""ตาก!J561"")"),0)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IFERROR(__xludf.DUMMYFUNCTION("IMPORTRANGE(""https://docs.google.com/spreadsheets/d/11923uPwbBZFjjGgGUA6NLw09EwE0CqkOc4q9oUmW1yo/edit?usp=sharing"",""ตาก!J562"")"),0)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IFERROR(__xludf.DUMMYFUNCTION("IMPORTRANGE(""https://docs.google.com/spreadsheets/d/11923uPwbBZFjjGgGUA6NLw09EwE0CqkOc4q9oUmW1yo/edit?usp=sharing"",""ตาก!I563"")"),0)</f>
        <v>0</v>
      </c>
      <c r="J668" s="535">
        <f ca="1">IFERROR(__xludf.DUMMYFUNCTION("IMPORTRANGE(""https://docs.google.com/spreadsheets/d/11923uPwbBZFjjGgGUA6NLw09EwE0CqkOc4q9oUmW1yo/edit?usp=sharing"",""ตาก!J563"")"),0)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IFERROR(__xludf.DUMMYFUNCTION("IMPORTRANGE(""https://docs.google.com/spreadsheets/d/11923uPwbBZFjjGgGUA6NLw09EwE0CqkOc4q9oUmW1yo/edit?usp=sharing"",""ตาก!L563"")"),0)</f>
        <v>0</v>
      </c>
      <c r="M668" s="520"/>
      <c r="N668" s="537">
        <f ca="1">IFERROR(__xludf.DUMMYFUNCTION("IMPORTRANGE(""https://docs.google.com/spreadsheets/d/11923uPwbBZFjjGgGUA6NLw09EwE0CqkOc4q9oUmW1yo/edit?usp=sharing"",""ตาก!M563"")"),0)</f>
        <v>0</v>
      </c>
      <c r="O668" s="536">
        <f ca="1">IF(L668&gt;0,N668*100/L668,0)</f>
        <v>0</v>
      </c>
      <c r="P668" s="536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IFERROR(__xludf.DUMMYFUNCTION("IMPORTRANGE(""https://docs.google.com/spreadsheets/d/11923uPwbBZFjjGgGUA6NLw09EwE0CqkOc4q9oUmW1yo/edit?usp=sharing"",""ตาก!J564"")"),0)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IFERROR(__xludf.DUMMYFUNCTION("IMPORTRANGE(""https://docs.google.com/spreadsheets/d/11923uPwbBZFjjGgGUA6NLw09EwE0CqkOc4q9oUmW1yo/edit?usp=sharing"",""ตาก!J565"")"),0)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5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IFERROR(__xludf.DUMMYFUNCTION("IMPORTRANGE(""https://docs.google.com/spreadsheets/d/11923uPwbBZFjjGgGUA6NLw09EwE0CqkOc4q9oUmW1yo/edit?usp=sharing"",""ตาก!I566"")"),0)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IFERROR(__xludf.DUMMYFUNCTION("IMPORTRANGE(""https://docs.google.com/spreadsheets/d/11923uPwbBZFjjGgGUA6NLw09EwE0CqkOc4q9oUmW1yo/edit?usp=sharing"",""ตาก!L566"")"),0)</f>
        <v>0</v>
      </c>
      <c r="M671" s="520"/>
      <c r="N671" s="537">
        <f ca="1">IFERROR(__xludf.DUMMYFUNCTION("IMPORTRANGE(""https://docs.google.com/spreadsheets/d/11923uPwbBZFjjGgGUA6NLw09EwE0CqkOc4q9oUmW1yo/edit?usp=sharing"",""ตาก!M566"")"),0)</f>
        <v>0</v>
      </c>
      <c r="O671" s="536">
        <f ca="1">IF(L671&gt;0,N671*100/L671,0)</f>
        <v>0</v>
      </c>
      <c r="P671" s="536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IFERROR(__xludf.DUMMYFUNCTION("IMPORTRANGE(""https://docs.google.com/spreadsheets/d/11923uPwbBZFjjGgGUA6NLw09EwE0CqkOc4q9oUmW1yo/edit?usp=sharing"",""ตาก!J567"")"),0)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IFERROR(__xludf.DUMMYFUNCTION("IMPORTRANGE(""https://docs.google.com/spreadsheets/d/11923uPwbBZFjjGgGUA6NLw09EwE0CqkOc4q9oUmW1yo/edit?usp=sharing"",""ตาก!J568"")"),0)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IFERROR(__xludf.DUMMYFUNCTION("IMPORTRANGE(""https://docs.google.com/spreadsheets/d/11923uPwbBZFjjGgGUA6NLw09EwE0CqkOc4q9oUmW1yo/edit?usp=sharing"",""ตาก!J569"")"),0)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IFERROR(__xludf.DUMMYFUNCTION("IMPORTRANGE(""https://docs.google.com/spreadsheets/d/11923uPwbBZFjjGgGUA6NLw09EwE0CqkOc4q9oUmW1yo/edit?usp=sharing"",""ตาก!J570"")"),0)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IFERROR(__xludf.DUMMYFUNCTION("IMPORTRANGE(""https://docs.google.com/spreadsheets/d/11923uPwbBZFjjGgGUA6NLw09EwE0CqkOc4q9oUmW1yo/edit?usp=sharing"",""ตาก!J571"")"),0)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5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IFERROR(__xludf.DUMMYFUNCTION("IMPORTRANGE(""https://docs.google.com/spreadsheets/d/11923uPwbBZFjjGgGUA6NLw09EwE0CqkOc4q9oUmW1yo/edit?usp=sharing"",""ตาก!J572"")"),0)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35">
      <c r="A2" s="577" t="s">
        <v>268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3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6452228</v>
      </c>
      <c r="M8" s="23">
        <f t="shared" ca="1" si="0"/>
        <v>3364744.2</v>
      </c>
      <c r="N8" s="23">
        <f t="shared" ca="1" si="0"/>
        <v>3627833.46</v>
      </c>
      <c r="O8" s="22">
        <f t="shared" ref="O8:O16" ca="1" si="1">IF(L8&gt;0,N8*100/L8,0)</f>
        <v>56.226058037626693</v>
      </c>
      <c r="P8" s="22">
        <f t="shared" ref="P8:P16" ca="1" si="2">IF(M8&gt;0,N8*100/M8,0)</f>
        <v>107.81899735498466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6452228</v>
      </c>
      <c r="M10" s="30">
        <f t="shared" ca="1" si="4"/>
        <v>3364744.2</v>
      </c>
      <c r="N10" s="30">
        <f t="shared" ca="1" si="4"/>
        <v>3627833.46</v>
      </c>
      <c r="O10" s="29">
        <f t="shared" ca="1" si="1"/>
        <v>56.226058037626693</v>
      </c>
      <c r="P10" s="29">
        <f t="shared" ca="1" si="2"/>
        <v>107.81899735498466</v>
      </c>
    </row>
    <row r="11" spans="1:16" ht="21.75" customHeight="1" x14ac:dyDescent="0.45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6254828</v>
      </c>
      <c r="M12" s="39">
        <f t="shared" ca="1" si="6"/>
        <v>3167344.2</v>
      </c>
      <c r="N12" s="39">
        <f t="shared" ca="1" si="6"/>
        <v>3430433.46</v>
      </c>
      <c r="O12" s="39">
        <f t="shared" ca="1" si="1"/>
        <v>54.844569027317775</v>
      </c>
      <c r="P12" s="39">
        <f t="shared" ca="1" si="2"/>
        <v>108.30630469527119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2242900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4011928</v>
      </c>
      <c r="M14" s="39">
        <f t="shared" si="8"/>
        <v>0</v>
      </c>
      <c r="N14" s="39">
        <f t="shared" ca="1" si="8"/>
        <v>882463</v>
      </c>
      <c r="O14" s="39">
        <f t="shared" ca="1" si="1"/>
        <v>21.995982978757347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197400</v>
      </c>
      <c r="M16" s="39">
        <f t="shared" ca="1" si="10"/>
        <v>197400</v>
      </c>
      <c r="N16" s="39">
        <f t="shared" ca="1" si="10"/>
        <v>197400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4150115</v>
      </c>
      <c r="M18" s="23">
        <f t="shared" ca="1" si="11"/>
        <v>3364744.2</v>
      </c>
      <c r="N18" s="23">
        <f t="shared" ca="1" si="11"/>
        <v>2745370.46</v>
      </c>
      <c r="O18" s="22">
        <f t="shared" ref="O18:O20" ca="1" si="12">IF(L18&gt;0,N18*100/L18,0)</f>
        <v>66.15167194162089</v>
      </c>
      <c r="P18" s="22">
        <f t="shared" ref="P18:P26" ca="1" si="13">IF(M18&gt;0,N18*100/M18,0)</f>
        <v>81.592248825334181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4150115</v>
      </c>
      <c r="M20" s="30">
        <f t="shared" ca="1" si="15"/>
        <v>3364744.2</v>
      </c>
      <c r="N20" s="30">
        <f t="shared" ca="1" si="15"/>
        <v>2745370.46</v>
      </c>
      <c r="O20" s="29">
        <f t="shared" ca="1" si="12"/>
        <v>66.15167194162089</v>
      </c>
      <c r="P20" s="29">
        <f t="shared" ca="1" si="13"/>
        <v>81.592248825334181</v>
      </c>
    </row>
    <row r="21" spans="1:16" ht="21.75" customHeight="1" x14ac:dyDescent="0.45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3952715</v>
      </c>
      <c r="M22" s="42">
        <f t="shared" ca="1" si="18"/>
        <v>3167344.2</v>
      </c>
      <c r="N22" s="39">
        <f t="shared" ca="1" si="18"/>
        <v>2547970.46</v>
      </c>
      <c r="O22" s="39">
        <f t="shared" ca="1" si="17"/>
        <v>64.46127433928325</v>
      </c>
      <c r="P22" s="39">
        <f t="shared" ca="1" si="13"/>
        <v>80.445013206963736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2242900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1709815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197400</v>
      </c>
      <c r="M26" s="50">
        <f t="shared" ca="1" si="22"/>
        <v>197400</v>
      </c>
      <c r="N26" s="50">
        <f t="shared" ca="1" si="22"/>
        <v>197400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2302113</v>
      </c>
      <c r="M28" s="23">
        <f t="shared" si="23"/>
        <v>0</v>
      </c>
      <c r="N28" s="23">
        <f t="shared" ca="1" si="23"/>
        <v>882463</v>
      </c>
      <c r="O28" s="22">
        <f t="shared" ref="O28:O30" ca="1" si="24">IF(L28&gt;0,N28*100/L28,0)</f>
        <v>38.332740399797927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2302113</v>
      </c>
      <c r="M30" s="30">
        <f t="shared" si="27"/>
        <v>0</v>
      </c>
      <c r="N30" s="30">
        <f t="shared" ca="1" si="27"/>
        <v>882463</v>
      </c>
      <c r="O30" s="29">
        <f t="shared" ca="1" si="24"/>
        <v>38.332740399797927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2302113</v>
      </c>
      <c r="M32" s="39">
        <f t="shared" si="30"/>
        <v>0</v>
      </c>
      <c r="N32" s="39">
        <f t="shared" ca="1" si="30"/>
        <v>882463</v>
      </c>
      <c r="O32" s="39">
        <f t="shared" ca="1" si="29"/>
        <v>38.332740399797927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2302113</v>
      </c>
      <c r="M34" s="39">
        <f t="shared" si="32"/>
        <v>0</v>
      </c>
      <c r="N34" s="39">
        <f t="shared" ca="1" si="32"/>
        <v>882463</v>
      </c>
      <c r="O34" s="39">
        <f t="shared" ca="1" si="29"/>
        <v>38.332740399797927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4150115</v>
      </c>
      <c r="M37" s="55">
        <f t="shared" ca="1" si="33"/>
        <v>3364744.2</v>
      </c>
      <c r="N37" s="55">
        <f t="shared" ca="1" si="33"/>
        <v>2745370.46</v>
      </c>
      <c r="O37" s="56">
        <f t="shared" ca="1" si="29"/>
        <v>66.15167194162089</v>
      </c>
      <c r="P37" s="56">
        <f t="shared" ca="1" si="25"/>
        <v>81.592248825334181</v>
      </c>
    </row>
    <row r="38" spans="1:16" ht="21.75" customHeight="1" x14ac:dyDescent="0.45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952200</v>
      </c>
      <c r="M41" s="79">
        <f t="shared" ca="1" si="34"/>
        <v>770280</v>
      </c>
      <c r="N41" s="79">
        <f t="shared" ca="1" si="34"/>
        <v>652633.23</v>
      </c>
      <c r="O41" s="78">
        <f t="shared" ref="O41:O43" ca="1" si="35">IF(L41&gt;0,N41*100/L41,0)</f>
        <v>68.539511657214874</v>
      </c>
      <c r="P41" s="78">
        <f t="shared" ref="P41:P43" ca="1" si="36">IF(M41&gt;0,N41*100/M41,0)</f>
        <v>84.726752609440723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952200</v>
      </c>
      <c r="M43" s="79">
        <f t="shared" ca="1" si="38"/>
        <v>770280</v>
      </c>
      <c r="N43" s="79">
        <f t="shared" ca="1" si="38"/>
        <v>652633.23</v>
      </c>
      <c r="O43" s="78">
        <f t="shared" ca="1" si="35"/>
        <v>68.539511657214874</v>
      </c>
      <c r="P43" s="78">
        <f t="shared" ca="1" si="36"/>
        <v>84.726752609440723</v>
      </c>
    </row>
    <row r="44" spans="1:16" ht="21.75" customHeight="1" x14ac:dyDescent="0.45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952200</v>
      </c>
      <c r="M45" s="50">
        <f ca="1">IFERROR(__xludf.DUMMYFUNCTION("IMPORTRANGE(""https://docs.google.com/spreadsheets/d/1Yj_ptqi66GCucihVvJfMjLAmec39IyEx_6qawtMGysU/edit?usp=sharing"",""สบก!Q24"")"),770280)</f>
        <v>770280</v>
      </c>
      <c r="N45" s="50">
        <f ca="1">IFERROR(__xludf.DUMMYFUNCTION("IMPORTRANGE(""https://docs.google.com/spreadsheets/d/1Yj_ptqi66GCucihVvJfMjLAmec39IyEx_6qawtMGysU/edit?usp=sharing"",""สบก!R24"")"),652633.23)</f>
        <v>652633.23</v>
      </c>
      <c r="O45" s="39">
        <f ca="1">IF(L45&gt;0,N45*100/L45,0)</f>
        <v>68.539511657214874</v>
      </c>
      <c r="P45" s="39">
        <f ca="1">IF(M45&gt;0,N45*100/M45,0)</f>
        <v>84.726752609440723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IFERROR(__xludf.DUMMYFUNCTION("IMPORTRANGE(""https://docs.google.com/spreadsheets/d/1Yj_ptqi66GCucihVvJfMjLAmec39IyEx_6qawtMGysU/edit?usp=sharing"",""สบก!M24"")"),952200)</f>
        <v>952200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IFERROR(__xludf.DUMMYFUNCTION("IMPORTRANGE(""https://docs.google.com/spreadsheets/d/1Yj_ptqi66GCucihVvJfMjLAmec39IyEx_6qawtMGysU/edit?usp=sharing"",""สบก!N24"")"),0)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IFERROR(__xludf.DUMMYFUNCTION("IMPORTRANGE(""https://docs.google.com/spreadsheets/d/1Yj_ptqi66GCucihVvJfMjLAmec39IyEx_6qawtMGysU/edit?usp=sharing"",""สบก!O24"")"),0)</f>
        <v>0</v>
      </c>
      <c r="M49" s="50"/>
      <c r="N49" s="50">
        <f ca="1">IFERROR(__xludf.DUMMYFUNCTION("IMPORTRANGE(""https://docs.google.com/spreadsheets/d/1Yj_ptqi66GCucihVvJfMjLAmec39IyEx_6qawtMGysU/edit?usp=sharing"",""สบก!S24"")"),0)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406319.2</v>
      </c>
      <c r="N53" s="121">
        <f t="shared" ca="1" si="39"/>
        <v>355631</v>
      </c>
      <c r="O53" s="120">
        <f t="shared" ref="O53:O55" ca="1" si="40">IF(L53&gt;0,N53*100/L53,0)</f>
        <v>79.029111111111106</v>
      </c>
      <c r="P53" s="120">
        <f t="shared" ref="P53:P55" ca="1" si="41">IF(M53&gt;0,N53*100/M53,0)</f>
        <v>87.525029582653247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406319.2</v>
      </c>
      <c r="N55" s="121">
        <f t="shared" ca="1" si="43"/>
        <v>355631</v>
      </c>
      <c r="O55" s="120">
        <f t="shared" ca="1" si="40"/>
        <v>79.029111111111106</v>
      </c>
      <c r="P55" s="120">
        <f t="shared" ca="1" si="41"/>
        <v>87.525029582653247</v>
      </c>
    </row>
    <row r="56" spans="1:16" ht="21.75" customHeight="1" x14ac:dyDescent="0.45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450000</v>
      </c>
      <c r="M57" s="50">
        <f ca="1">IFERROR(__xludf.DUMMYFUNCTION("IMPORTRANGE(""https://docs.google.com/spreadsheets/d/1Yj_ptqi66GCucihVvJfMjLAmec39IyEx_6qawtMGysU/edit?usp=sharing"",""สบก!Z24"")"),406319.2)</f>
        <v>406319.2</v>
      </c>
      <c r="N57" s="50">
        <f ca="1">IFERROR(__xludf.DUMMYFUNCTION("IMPORTRANGE(""https://docs.google.com/spreadsheets/d/1Yj_ptqi66GCucihVvJfMjLAmec39IyEx_6qawtMGysU/edit?usp=sharing"",""สบก!AA24"")"),355631)</f>
        <v>355631</v>
      </c>
      <c r="O57" s="39">
        <f ca="1">IF(L57&gt;0,N57*100/L57,0)</f>
        <v>79.029111111111106</v>
      </c>
      <c r="P57" s="39">
        <f ca="1">IF(M57&gt;0,N57*100/M57,0)</f>
        <v>87.525029582653247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IFERROR(__xludf.DUMMYFUNCTION("IMPORTRANGE(""https://docs.google.com/spreadsheets/d/1Yj_ptqi66GCucihVvJfMjLAmec39IyEx_6qawtMGysU/edit?usp=sharing"",""สบก!V24"")"),450000)</f>
        <v>450000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IFERROR(__xludf.DUMMYFUNCTION("IMPORTRANGE(""https://docs.google.com/spreadsheets/d/1Yj_ptqi66GCucihVvJfMjLAmec39IyEx_6qawtMGysU/edit?usp=sharing"",""สบก!W24"")"),0)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IFERROR(__xludf.DUMMYFUNCTION("IMPORTRANGE(""https://docs.google.com/spreadsheets/d/1Yj_ptqi66GCucihVvJfMjLAmec39IyEx_6qawtMGysU/edit?usp=sharing"",""สบก!X24"")"),0)</f>
        <v>0</v>
      </c>
      <c r="M61" s="50"/>
      <c r="N61" s="50">
        <f ca="1">IFERROR(__xludf.DUMMYFUNCTION("IMPORTRANGE(""https://docs.google.com/spreadsheets/d/1Yj_ptqi66GCucihVvJfMjLAmec39IyEx_6qawtMGysU/edit?usp=sharing"",""สบก!AB24"")"),0)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IFERROR(__xludf.DUMMYFUNCTION("IMPORTRANGE(""https://docs.google.com/spreadsheets/d/11923uPwbBZFjjGgGUA6NLw09EwE0CqkOc4q9oUmW1yo/edit?usp=sharing"",""นครสวรรค์!I9"")"),1)</f>
        <v>1</v>
      </c>
      <c r="J64" s="142">
        <f ca="1">IFERROR(__xludf.DUMMYFUNCTION("IMPORTRANGE(""https://docs.google.com/spreadsheets/d/11923uPwbBZFjjGgGUA6NLw09EwE0CqkOc4q9oUmW1yo/edit?usp=sharing"",""นครสวรรค์!J9"")"),1)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IFERROR(__xludf.DUMMYFUNCTION("IMPORTRANGE(""https://docs.google.com/spreadsheets/d/11923uPwbBZFjjGgGUA6NLw09EwE0CqkOc4q9oUmW1yo/edit?usp=sharing"",""นครสวรรค์!I10"")"),40)</f>
        <v>40</v>
      </c>
      <c r="J65" s="142">
        <f ca="1">IFERROR(__xludf.DUMMYFUNCTION("IMPORTRANGE(""https://docs.google.com/spreadsheets/d/11923uPwbBZFjjGgGUA6NLw09EwE0CqkOc4q9oUmW1yo/edit?usp=sharing"",""นครสวรรค์!J10"")"),40)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745500</v>
      </c>
      <c r="M66" s="152">
        <f t="shared" ca="1" si="45"/>
        <v>605220</v>
      </c>
      <c r="N66" s="152">
        <f t="shared" ca="1" si="45"/>
        <v>573054.53</v>
      </c>
      <c r="O66" s="151">
        <f t="shared" ref="O66:O68" ca="1" si="46">IF(L66&gt;0,N66*100/L66,0)</f>
        <v>76.868481556002678</v>
      </c>
      <c r="P66" s="151">
        <f t="shared" ref="P66:P68" ca="1" si="47">IF(M66&gt;0,N66*100/M66,0)</f>
        <v>94.68532599715806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745500</v>
      </c>
      <c r="M68" s="88">
        <f t="shared" ca="1" si="49"/>
        <v>605220</v>
      </c>
      <c r="N68" s="88">
        <f t="shared" ca="1" si="49"/>
        <v>573054.53</v>
      </c>
      <c r="O68" s="156">
        <f t="shared" ca="1" si="46"/>
        <v>76.868481556002678</v>
      </c>
      <c r="P68" s="156">
        <f t="shared" ca="1" si="47"/>
        <v>94.68532599715806</v>
      </c>
    </row>
    <row r="69" spans="1:16" ht="21.75" customHeight="1" x14ac:dyDescent="0.45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745500</v>
      </c>
      <c r="M70" s="167">
        <f ca="1">IFERROR(__xludf.DUMMYFUNCTION("IMPORTRANGE(""https://docs.google.com/spreadsheets/d/1Yj_ptqi66GCucihVvJfMjLAmec39IyEx_6qawtMGysU/edit?usp=sharing"",""สบก!AI24"")"),605220)</f>
        <v>605220</v>
      </c>
      <c r="N70" s="168">
        <f ca="1">IFERROR(__xludf.DUMMYFUNCTION("IMPORTRANGE(""https://docs.google.com/spreadsheets/d/1Yj_ptqi66GCucihVvJfMjLAmec39IyEx_6qawtMGysU/edit?usp=sharing"",""สบก!AJ24"")"),573054.53)</f>
        <v>573054.53</v>
      </c>
      <c r="O70" s="168">
        <f ca="1">IF(L70&gt;0,N70*100/L70,0)</f>
        <v>76.868481556002678</v>
      </c>
      <c r="P70" s="168">
        <f ca="1">IF(M70&gt;0,N70*100/M70,0)</f>
        <v>94.68532599715806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IFERROR(__xludf.DUMMYFUNCTION("IMPORTRANGE(""https://docs.google.com/spreadsheets/d/1Yj_ptqi66GCucihVvJfMjLAmec39IyEx_6qawtMGysU/edit?usp=sharing"",""สบก!AE24"")"),311500)</f>
        <v>311500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IFERROR(__xludf.DUMMYFUNCTION("IMPORTRANGE(""https://docs.google.com/spreadsheets/d/1Yj_ptqi66GCucihVvJfMjLAmec39IyEx_6qawtMGysU/edit?usp=sharing"",""สบก!AF24"")"),434000)</f>
        <v>434000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IFERROR(__xludf.DUMMYFUNCTION("IMPORTRANGE(""https://docs.google.com/spreadsheets/d/1Yj_ptqi66GCucihVvJfMjLAmec39IyEx_6qawtMGysU/edit?usp=sharing"",""สบก!AG24"")"),0)</f>
        <v>0</v>
      </c>
      <c r="M74" s="50"/>
      <c r="N74" s="50">
        <f ca="1">IFERROR(__xludf.DUMMYFUNCTION("IMPORTRANGE(""https://docs.google.com/spreadsheets/d/1Yj_ptqi66GCucihVvJfMjLAmec39IyEx_6qawtMGysU/edit?usp=sharing"",""สบก!AK24"")"),0)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IFERROR(__xludf.DUMMYFUNCTION("IMPORTRANGE(""https://docs.google.com/spreadsheets/d/11923uPwbBZFjjGgGUA6NLw09EwE0CqkOc4q9oUmW1yo/edit?usp=sharing"",""นครสวรรค์!J16"")"),0)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IFERROR(__xludf.DUMMYFUNCTION("IMPORTRANGE(""https://docs.google.com/spreadsheets/d/11923uPwbBZFjjGgGUA6NLw09EwE0CqkOc4q9oUmW1yo/edit?usp=sharing"",""นครสวรรค์!J17"")"),1)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IFERROR(__xludf.DUMMYFUNCTION("IMPORTRANGE(""https://docs.google.com/spreadsheets/d/11923uPwbBZFjjGgGUA6NLw09EwE0CqkOc4q9oUmW1yo/edit?usp=sharing"",""นครสวรรค์!J18"")"),1)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IFERROR(__xludf.DUMMYFUNCTION("IMPORTRANGE(""https://docs.google.com/spreadsheets/d/11923uPwbBZFjjGgGUA6NLw09EwE0CqkOc4q9oUmW1yo/edit?usp=sharing"",""นครสวรรค์!J19"")"),1)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IFERROR(__xludf.DUMMYFUNCTION("IMPORTRANGE(""https://docs.google.com/spreadsheets/d/11923uPwbBZFjjGgGUA6NLw09EwE0CqkOc4q9oUmW1yo/edit?usp=sharing"",""นครสวรรค์!I20"")"),1)</f>
        <v>1</v>
      </c>
      <c r="J80" s="200">
        <f ca="1">IFERROR(__xludf.DUMMYFUNCTION("IMPORTRANGE(""https://docs.google.com/spreadsheets/d/11923uPwbBZFjjGgGUA6NLw09EwE0CqkOc4q9oUmW1yo/edit?usp=sharing"",""นครสวรรค์!J20"")"),1)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IFERROR(__xludf.DUMMYFUNCTION("IMPORTRANGE(""https://docs.google.com/spreadsheets/d/11923uPwbBZFjjGgGUA6NLw09EwE0CqkOc4q9oUmW1yo/edit?usp=sharing"",""นครสวรรค์!I21"")"),40)</f>
        <v>40</v>
      </c>
      <c r="J81" s="200">
        <f ca="1">IFERROR(__xludf.DUMMYFUNCTION("IMPORTRANGE(""https://docs.google.com/spreadsheets/d/11923uPwbBZFjjGgGUA6NLw09EwE0CqkOc4q9oUmW1yo/edit?usp=sharing"",""นครสวรรค์!J21"")"),40)</f>
        <v>40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IFERROR(__xludf.DUMMYFUNCTION("IMPORTRANGE(""https://docs.google.com/spreadsheets/d/11923uPwbBZFjjGgGUA6NLw09EwE0CqkOc4q9oUmW1yo/edit?usp=sharing"",""นครสวรรค์!I22"")"),0)</f>
        <v>0</v>
      </c>
      <c r="J82" s="203">
        <f ca="1">IFERROR(__xludf.DUMMYFUNCTION("IMPORTRANGE(""https://docs.google.com/spreadsheets/d/11923uPwbBZFjjGgGUA6NLw09EwE0CqkOc4q9oUmW1yo/edit?usp=sharing"",""นครสวรรค์!J22"")"),0)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IFERROR(__xludf.DUMMYFUNCTION("IMPORTRANGE(""https://docs.google.com/spreadsheets/d/11923uPwbBZFjjGgGUA6NLw09EwE0CqkOc4q9oUmW1yo/edit?usp=sharing"",""นครสวรรค์!I23"")"),0)</f>
        <v>0</v>
      </c>
      <c r="J83" s="203">
        <f ca="1">IFERROR(__xludf.DUMMYFUNCTION("IMPORTRANGE(""https://docs.google.com/spreadsheets/d/11923uPwbBZFjjGgGUA6NLw09EwE0CqkOc4q9oUmW1yo/edit?usp=sharing"",""นครสวรรค์!J23"")"),0)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IFERROR(__xludf.DUMMYFUNCTION("IMPORTRANGE(""https://docs.google.com/spreadsheets/d/11923uPwbBZFjjGgGUA6NLw09EwE0CqkOc4q9oUmW1yo/edit?usp=sharing"",""นครสวรรค์!I24"")"),1)</f>
        <v>1</v>
      </c>
      <c r="J84" s="188">
        <f ca="1">IFERROR(__xludf.DUMMYFUNCTION("IMPORTRANGE(""https://docs.google.com/spreadsheets/d/11923uPwbBZFjjGgGUA6NLw09EwE0CqkOc4q9oUmW1yo/edit?usp=sharing"",""นครสวรรค์!J24"")"),1)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IFERROR(__xludf.DUMMYFUNCTION("IMPORTRANGE(""https://docs.google.com/spreadsheets/d/11923uPwbBZFjjGgGUA6NLw09EwE0CqkOc4q9oUmW1yo/edit?usp=sharing"",""นครสวรรค์!I25"")"),40)</f>
        <v>40</v>
      </c>
      <c r="J85" s="188">
        <f ca="1">IFERROR(__xludf.DUMMYFUNCTION("IMPORTRANGE(""https://docs.google.com/spreadsheets/d/11923uPwbBZFjjGgGUA6NLw09EwE0CqkOc4q9oUmW1yo/edit?usp=sharing"",""นครสวรรค์!J25"")"),40)</f>
        <v>40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IFERROR(__xludf.DUMMYFUNCTION("IMPORTRANGE(""https://docs.google.com/spreadsheets/d/11923uPwbBZFjjGgGUA6NLw09EwE0CqkOc4q9oUmW1yo/edit?usp=sharing"",""นครสวรรค์!I26"")"),0)</f>
        <v>0</v>
      </c>
      <c r="J86" s="203">
        <f ca="1">IFERROR(__xludf.DUMMYFUNCTION("IMPORTRANGE(""https://docs.google.com/spreadsheets/d/11923uPwbBZFjjGgGUA6NLw09EwE0CqkOc4q9oUmW1yo/edit?usp=sharing"",""นครสวรรค์!J26"")"),0)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IFERROR(__xludf.DUMMYFUNCTION("IMPORTRANGE(""https://docs.google.com/spreadsheets/d/11923uPwbBZFjjGgGUA6NLw09EwE0CqkOc4q9oUmW1yo/edit?usp=sharing"",""นครสวรรค์!I27"")"),0)</f>
        <v>0</v>
      </c>
      <c r="J87" s="203">
        <f ca="1">IFERROR(__xludf.DUMMYFUNCTION("IMPORTRANGE(""https://docs.google.com/spreadsheets/d/11923uPwbBZFjjGgGUA6NLw09EwE0CqkOc4q9oUmW1yo/edit?usp=sharing"",""นครสวรรค์!J27"")"),0)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IFERROR(__xludf.DUMMYFUNCTION("IMPORTRANGE(""https://docs.google.com/spreadsheets/d/11923uPwbBZFjjGgGUA6NLw09EwE0CqkOc4q9oUmW1yo/edit?usp=sharing"",""นครสวรรค์!I28"")"),1)</f>
        <v>1</v>
      </c>
      <c r="J88" s="203">
        <f ca="1">IFERROR(__xludf.DUMMYFUNCTION("IMPORTRANGE(""https://docs.google.com/spreadsheets/d/11923uPwbBZFjjGgGUA6NLw09EwE0CqkOc4q9oUmW1yo/edit?usp=sharing"",""นครสวรรค์!J28"")"),0)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IFERROR(__xludf.DUMMYFUNCTION("IMPORTRANGE(""https://docs.google.com/spreadsheets/d/11923uPwbBZFjjGgGUA6NLw09EwE0CqkOc4q9oUmW1yo/edit?usp=sharing"",""นครสวรรค์!J29"")"),0)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IFERROR(__xludf.DUMMYFUNCTION("IMPORTRANGE(""https://docs.google.com/spreadsheets/d/11923uPwbBZFjjGgGUA6NLw09EwE0CqkOc4q9oUmW1yo/edit?usp=sharing"",""นครสวรรค์!J30"")"),0)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IFERROR(__xludf.DUMMYFUNCTION("IMPORTRANGE(""https://docs.google.com/spreadsheets/d/11923uPwbBZFjjGgGUA6NLw09EwE0CqkOc4q9oUmW1yo/edit?usp=sharing"",""นครสวรรค์!I32"")"),4)</f>
        <v>4</v>
      </c>
      <c r="J92" s="142">
        <f ca="1">IFERROR(__xludf.DUMMYFUNCTION("IMPORTRANGE(""https://docs.google.com/spreadsheets/d/11923uPwbBZFjjGgGUA6NLw09EwE0CqkOc4q9oUmW1yo/edit?usp=sharing"",""นครสวรรค์!J32"")"),4)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IFERROR(__xludf.DUMMYFUNCTION("IMPORTRANGE(""https://docs.google.com/spreadsheets/d/11923uPwbBZFjjGgGUA6NLw09EwE0CqkOc4q9oUmW1yo/edit?usp=sharing"",""นครสวรรค์!I33"")"),1)</f>
        <v>1</v>
      </c>
      <c r="J93" s="142">
        <f ca="1">IFERROR(__xludf.DUMMYFUNCTION("IMPORTRANGE(""https://docs.google.com/spreadsheets/d/11923uPwbBZFjjGgGUA6NLw09EwE0CqkOc4q9oUmW1yo/edit?usp=sharing"",""นครสวรรค์!J33"")"),1)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119540</v>
      </c>
      <c r="O94" s="151">
        <f t="shared" ref="O94:O96" ca="1" si="53">IF(L94&gt;0,N94*100/L94,0)</f>
        <v>55.729603729603731</v>
      </c>
      <c r="P94" s="151">
        <f t="shared" ref="P94:P96" ca="1" si="54">IF(M94&gt;0,N94*100/M94,0)</f>
        <v>61.474377105242858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194455</v>
      </c>
      <c r="N96" s="88">
        <f t="shared" ca="1" si="56"/>
        <v>119540</v>
      </c>
      <c r="O96" s="156">
        <f t="shared" ca="1" si="53"/>
        <v>55.729603729603731</v>
      </c>
      <c r="P96" s="156">
        <f t="shared" ca="1" si="54"/>
        <v>61.474377105242858</v>
      </c>
    </row>
    <row r="97" spans="1:16" ht="21.75" customHeight="1" x14ac:dyDescent="0.45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IFERROR(__xludf.DUMMYFUNCTION("IMPORTRANGE(""https://docs.google.com/spreadsheets/d/1Yj_ptqi66GCucihVvJfMjLAmec39IyEx_6qawtMGysU/edit?usp=sharing"",""สบก!AR24"")"),102055)</f>
        <v>102055</v>
      </c>
      <c r="N98" s="168">
        <f ca="1">IFERROR(__xludf.DUMMYFUNCTION("IMPORTRANGE(""https://docs.google.com/spreadsheets/d/1Yj_ptqi66GCucihVvJfMjLAmec39IyEx_6qawtMGysU/edit?usp=sharing"",""สบก!AS24"")"),27140)</f>
        <v>27140</v>
      </c>
      <c r="O98" s="168">
        <f ca="1">IF(L98&gt;0,N98*100/L98,0)</f>
        <v>22.227682227682227</v>
      </c>
      <c r="P98" s="168">
        <f ca="1">IF(M98&gt;0,N98*100/M98,0)</f>
        <v>26.593503503013082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IFERROR(__xludf.DUMMYFUNCTION("IMPORTRANGE(""https://docs.google.com/spreadsheets/d/1Yj_ptqi66GCucihVvJfMjLAmec39IyEx_6qawtMGysU/edit?usp=sharing"",""สบก!AN24"")"),0)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IFERROR(__xludf.DUMMYFUNCTION("IMPORTRANGE(""https://docs.google.com/spreadsheets/d/1Yj_ptqi66GCucihVvJfMjLAmec39IyEx_6qawtMGysU/edit?usp=sharing"",""สบก!AO24"")"),122100)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IFERROR(__xludf.DUMMYFUNCTION("IMPORTRANGE(""https://docs.google.com/spreadsheets/d/1Yj_ptqi66GCucihVvJfMjLAmec39IyEx_6qawtMGysU/edit?usp=sharing"",""สบก!AP24"")"),92400)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IFERROR(__xludf.DUMMYFUNCTION("IMPORTRANGE(""https://docs.google.com/spreadsheets/d/1Yj_ptqi66GCucihVvJfMjLAmec39IyEx_6qawtMGysU/edit?usp=sharing"",""สบก!AT24"")"),92400)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IFERROR(__xludf.DUMMYFUNCTION("IMPORTRANGE(""https://docs.google.com/spreadsheets/d/11923uPwbBZFjjGgGUA6NLw09EwE0CqkOc4q9oUmW1yo/edit?usp=sharing"",""นครสวรรค์!J39"")"),0)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IFERROR(__xludf.DUMMYFUNCTION("IMPORTRANGE(""https://docs.google.com/spreadsheets/d/11923uPwbBZFjjGgGUA6NLw09EwE0CqkOc4q9oUmW1yo/edit?usp=sharing"",""นครสวรรค์!J40"")"),1)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IFERROR(__xludf.DUMMYFUNCTION("IMPORTRANGE(""https://docs.google.com/spreadsheets/d/11923uPwbBZFjjGgGUA6NLw09EwE0CqkOc4q9oUmW1yo/edit?usp=sharing"",""นครสวรรค์!J41"")"),1)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IFERROR(__xludf.DUMMYFUNCTION("IMPORTRANGE(""https://docs.google.com/spreadsheets/d/11923uPwbBZFjjGgGUA6NLw09EwE0CqkOc4q9oUmW1yo/edit?usp=sharing"",""นครสวรรค์!J42"")"),1)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IFERROR(__xludf.DUMMYFUNCTION("IMPORTRANGE(""https://docs.google.com/spreadsheets/d/11923uPwbBZFjjGgGUA6NLw09EwE0CqkOc4q9oUmW1yo/edit?usp=sharing"",""นครสวรรค์!I43"")"),1)</f>
        <v>1</v>
      </c>
      <c r="J108" s="203">
        <f ca="1">IFERROR(__xludf.DUMMYFUNCTION("IMPORTRANGE(""https://docs.google.com/spreadsheets/d/11923uPwbBZFjjGgGUA6NLw09EwE0CqkOc4q9oUmW1yo/edit?usp=sharing"",""นครสวรรค์!J43"")"),1)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IFERROR(__xludf.DUMMYFUNCTION("IMPORTRANGE(""https://docs.google.com/spreadsheets/d/11923uPwbBZFjjGgGUA6NLw09EwE0CqkOc4q9oUmW1yo/edit?usp=sharing"",""นครสวรรค์!I44"")"),4)</f>
        <v>4</v>
      </c>
      <c r="J109" s="203">
        <f ca="1">IFERROR(__xludf.DUMMYFUNCTION("IMPORTRANGE(""https://docs.google.com/spreadsheets/d/11923uPwbBZFjjGgGUA6NLw09EwE0CqkOc4q9oUmW1yo/edit?usp=sharing"",""นครสวรรค์!J44"")"),4)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IFERROR(__xludf.DUMMYFUNCTION("IMPORTRANGE(""https://docs.google.com/spreadsheets/d/11923uPwbBZFjjGgGUA6NLw09EwE0CqkOc4q9oUmW1yo/edit?usp=sharing"",""นครสวรรค์!I45"")"),4)</f>
        <v>4</v>
      </c>
      <c r="J110" s="203">
        <f ca="1">IFERROR(__xludf.DUMMYFUNCTION("IMPORTRANGE(""https://docs.google.com/spreadsheets/d/11923uPwbBZFjjGgGUA6NLw09EwE0CqkOc4q9oUmW1yo/edit?usp=sharing"",""นครสวรรค์!J45"")"),4)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IFERROR(__xludf.DUMMYFUNCTION("IMPORTRANGE(""https://docs.google.com/spreadsheets/d/11923uPwbBZFjjGgGUA6NLw09EwE0CqkOc4q9oUmW1yo/edit?usp=sharing"",""นครสวรรค์!I46"")"),4)</f>
        <v>4</v>
      </c>
      <c r="J111" s="203">
        <f ca="1">IFERROR(__xludf.DUMMYFUNCTION("IMPORTRANGE(""https://docs.google.com/spreadsheets/d/11923uPwbBZFjjGgGUA6NLw09EwE0CqkOc4q9oUmW1yo/edit?usp=sharing"",""นครสวรรค์!J46"")"),4)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IFERROR(__xludf.DUMMYFUNCTION("IMPORTRANGE(""https://docs.google.com/spreadsheets/d/11923uPwbBZFjjGgGUA6NLw09EwE0CqkOc4q9oUmW1yo/edit?usp=sharing"",""นครสวรรค์!I47"")"),4)</f>
        <v>4</v>
      </c>
      <c r="J112" s="203">
        <f ca="1">IFERROR(__xludf.DUMMYFUNCTION("IMPORTRANGE(""https://docs.google.com/spreadsheets/d/11923uPwbBZFjjGgGUA6NLw09EwE0CqkOc4q9oUmW1yo/edit?usp=sharing"",""นครสวรรค์!J47"")"),4)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IFERROR(__xludf.DUMMYFUNCTION("IMPORTRANGE(""https://docs.google.com/spreadsheets/d/11923uPwbBZFjjGgGUA6NLw09EwE0CqkOc4q9oUmW1yo/edit?usp=sharing"",""นครสวรรค์!I48"")"),1)</f>
        <v>1</v>
      </c>
      <c r="J113" s="203">
        <f ca="1">IFERROR(__xludf.DUMMYFUNCTION("IMPORTRANGE(""https://docs.google.com/spreadsheets/d/11923uPwbBZFjjGgGUA6NLw09EwE0CqkOc4q9oUmW1yo/edit?usp=sharing"",""นครสวรรค์!J48"")"),1)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IFERROR(__xludf.DUMMYFUNCTION("IMPORTRANGE(""https://docs.google.com/spreadsheets/d/11923uPwbBZFjjGgGUA6NLw09EwE0CqkOc4q9oUmW1yo/edit?usp=sharing"",""นครสวรรค์!J49"")"),0)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IFERROR(__xludf.DUMMYFUNCTION("IMPORTRANGE(""https://docs.google.com/spreadsheets/d/11923uPwbBZFjjGgGUA6NLw09EwE0CqkOc4q9oUmW1yo/edit?usp=sharing"",""นครสวรรค์!J50"")"),0)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IFERROR(__xludf.DUMMYFUNCTION("IMPORTRANGE(""https://docs.google.com/spreadsheets/d/11923uPwbBZFjjGgGUA6NLw09EwE0CqkOc4q9oUmW1yo/edit?usp=sharing"",""นครสวรรค์!I52"")"),20)</f>
        <v>20</v>
      </c>
      <c r="J117" s="142">
        <f ca="1">IFERROR(__xludf.DUMMYFUNCTION("IMPORTRANGE(""https://docs.google.com/spreadsheets/d/11923uPwbBZFjjGgGUA6NLw09EwE0CqkOc4q9oUmW1yo/edit?usp=sharing"",""นครสวรรค์!J52"")"),20)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50100</v>
      </c>
      <c r="O118" s="151">
        <f t="shared" ref="O118:O120" ca="1" si="59">IF(L118&gt;0,N118*100/L118,0)</f>
        <v>60.771470160116451</v>
      </c>
      <c r="P118" s="151">
        <f t="shared" ref="P118:P120" ca="1" si="60">IF(M118&gt;0,N118*100/M118,0)</f>
        <v>60.771470160116451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50100</v>
      </c>
      <c r="O120" s="156">
        <f t="shared" ca="1" si="59"/>
        <v>60.771470160116451</v>
      </c>
      <c r="P120" s="156">
        <f t="shared" ca="1" si="60"/>
        <v>60.771470160116451</v>
      </c>
    </row>
    <row r="121" spans="1:16" ht="21.75" customHeight="1" x14ac:dyDescent="0.45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IFERROR(__xludf.DUMMYFUNCTION("IMPORTRANGE(""https://docs.google.com/spreadsheets/d/1Yj_ptqi66GCucihVvJfMjLAmec39IyEx_6qawtMGysU/edit?usp=sharing"",""สบก!BA24"")"),82440)</f>
        <v>82440</v>
      </c>
      <c r="N122" s="168">
        <f ca="1">IFERROR(__xludf.DUMMYFUNCTION("IMPORTRANGE(""https://docs.google.com/spreadsheets/d/1Yj_ptqi66GCucihVvJfMjLAmec39IyEx_6qawtMGysU/edit?usp=sharing"",""สบก!BB24"")"),50100)</f>
        <v>50100</v>
      </c>
      <c r="O122" s="168">
        <f ca="1">IF(L122&gt;0,N122*100/L122,0)</f>
        <v>60.771470160116451</v>
      </c>
      <c r="P122" s="168">
        <f ca="1">IF(M122&gt;0,N122*100/M122,0)</f>
        <v>60.771470160116451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IFERROR(__xludf.DUMMYFUNCTION("IMPORTRANGE(""https://docs.google.com/spreadsheets/d/1Yj_ptqi66GCucihVvJfMjLAmec39IyEx_6qawtMGysU/edit?usp=sharing"",""สบก!AW24"")"),0)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IFERROR(__xludf.DUMMYFUNCTION("IMPORTRANGE(""https://docs.google.com/spreadsheets/d/1Yj_ptqi66GCucihVvJfMjLAmec39IyEx_6qawtMGysU/edit?usp=sharing"",""สบก!AX24"")"),82440)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IFERROR(__xludf.DUMMYFUNCTION("IMPORTRANGE(""https://docs.google.com/spreadsheets/d/1Yj_ptqi66GCucihVvJfMjLAmec39IyEx_6qawtMGysU/edit?usp=sharing"",""สบก!AY24"")"),0)</f>
        <v>0</v>
      </c>
      <c r="M126" s="50"/>
      <c r="N126" s="50">
        <f ca="1">IFERROR(__xludf.DUMMYFUNCTION("IMPORTRANGE(""https://docs.google.com/spreadsheets/d/1Yj_ptqi66GCucihVvJfMjLAmec39IyEx_6qawtMGysU/edit?usp=sharing"",""สบก!BC24"")"),0)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269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IFERROR(__xludf.DUMMYFUNCTION("IMPORTRANGE(""https://docs.google.com/spreadsheets/d/11923uPwbBZFjjGgGUA6NLw09EwE0CqkOc4q9oUmW1yo/edit?usp=sharing"",""นครสวรรค์!J58"")"),0)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IFERROR(__xludf.DUMMYFUNCTION("IMPORTRANGE(""https://docs.google.com/spreadsheets/d/11923uPwbBZFjjGgGUA6NLw09EwE0CqkOc4q9oUmW1yo/edit?usp=sharing"",""นครสวรรค์!J59"")"),1)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IFERROR(__xludf.DUMMYFUNCTION("IMPORTRANGE(""https://docs.google.com/spreadsheets/d/11923uPwbBZFjjGgGUA6NLw09EwE0CqkOc4q9oUmW1yo/edit?usp=sharing"",""นครสวรรค์!J60"")"),1)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IFERROR(__xludf.DUMMYFUNCTION("IMPORTRANGE(""https://docs.google.com/spreadsheets/d/11923uPwbBZFjjGgGUA6NLw09EwE0CqkOc4q9oUmW1yo/edit?usp=sharing"",""นครสวรรค์!J61"")"),1)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IFERROR(__xludf.DUMMYFUNCTION("IMPORTRANGE(""https://docs.google.com/spreadsheets/d/11923uPwbBZFjjGgGUA6NLw09EwE0CqkOc4q9oUmW1yo/edit?usp=sharing"",""นครสวรรค์!I62"")"),20)</f>
        <v>20</v>
      </c>
      <c r="J132" s="203">
        <f ca="1">IFERROR(__xludf.DUMMYFUNCTION("IMPORTRANGE(""https://docs.google.com/spreadsheets/d/11923uPwbBZFjjGgGUA6NLw09EwE0CqkOc4q9oUmW1yo/edit?usp=sharing"",""นครสวรรค์!J62"")"),20)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IFERROR(__xludf.DUMMYFUNCTION("IMPORTRANGE(""https://docs.google.com/spreadsheets/d/11923uPwbBZFjjGgGUA6NLw09EwE0CqkOc4q9oUmW1yo/edit?usp=sharing"",""นครสวรรค์!I63"")"),20)</f>
        <v>20</v>
      </c>
      <c r="J133" s="203">
        <f ca="1">IFERROR(__xludf.DUMMYFUNCTION("IMPORTRANGE(""https://docs.google.com/spreadsheets/d/11923uPwbBZFjjGgGUA6NLw09EwE0CqkOc4q9oUmW1yo/edit?usp=sharing"",""นครสวรรค์!J63"")"),20)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IFERROR(__xludf.DUMMYFUNCTION("IMPORTRANGE(""https://docs.google.com/spreadsheets/d/11923uPwbBZFjjGgGUA6NLw09EwE0CqkOc4q9oUmW1yo/edit?usp=sharing"",""นครสวรรค์!J64"")"),0)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IFERROR(__xludf.DUMMYFUNCTION("IMPORTRANGE(""https://docs.google.com/spreadsheets/d/11923uPwbBZFjjGgGUA6NLw09EwE0CqkOc4q9oUmW1yo/edit?usp=sharing"",""นครสวรรค์!J65"")"),0)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IFERROR(__xludf.DUMMYFUNCTION("IMPORTRANGE(""https://docs.google.com/spreadsheets/d/11923uPwbBZFjjGgGUA6NLw09EwE0CqkOc4q9oUmW1yo/edit?usp=sharing"",""นครสวรรค์!I68"")"),0)</f>
        <v>0</v>
      </c>
      <c r="J138" s="267">
        <f ca="1">IFERROR(__xludf.DUMMYFUNCTION("IMPORTRANGE(""https://docs.google.com/spreadsheets/d/11923uPwbBZFjjGgGUA6NLw09EwE0CqkOc4q9oUmW1yo/edit?usp=sharing"",""นครสวรรค์!J68"")"),0)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163500</v>
      </c>
      <c r="M140" s="152">
        <f t="shared" ca="1" si="64"/>
        <v>131225</v>
      </c>
      <c r="N140" s="152">
        <f t="shared" ca="1" si="64"/>
        <v>79500</v>
      </c>
      <c r="O140" s="151">
        <f t="shared" ref="O140:O142" ca="1" si="65">IF(L140&gt;0,N140*100/L140,0)</f>
        <v>48.623853211009177</v>
      </c>
      <c r="P140" s="151">
        <f t="shared" ref="P140:P142" ca="1" si="66">IF(M140&gt;0,N140*100/M140,0)</f>
        <v>60.582968184416082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163500</v>
      </c>
      <c r="M142" s="88">
        <f t="shared" ca="1" si="68"/>
        <v>131225</v>
      </c>
      <c r="N142" s="88">
        <f t="shared" ca="1" si="68"/>
        <v>79500</v>
      </c>
      <c r="O142" s="156">
        <f t="shared" ca="1" si="65"/>
        <v>48.623853211009177</v>
      </c>
      <c r="P142" s="156">
        <f t="shared" ca="1" si="66"/>
        <v>60.582968184416082</v>
      </c>
    </row>
    <row r="143" spans="1:16" ht="21.75" customHeight="1" x14ac:dyDescent="0.45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163500</v>
      </c>
      <c r="M144" s="167">
        <f ca="1">IFERROR(__xludf.DUMMYFUNCTION("IMPORTRANGE(""https://docs.google.com/spreadsheets/d/1Yj_ptqi66GCucihVvJfMjLAmec39IyEx_6qawtMGysU/edit?usp=sharing"",""สบก!BJ24"")"),131225)</f>
        <v>131225</v>
      </c>
      <c r="N144" s="168">
        <f ca="1">IFERROR(__xludf.DUMMYFUNCTION("IMPORTRANGE(""https://docs.google.com/spreadsheets/d/1Yj_ptqi66GCucihVvJfMjLAmec39IyEx_6qawtMGysU/edit?usp=sharing"",""สบก!BK24"")"),79500)</f>
        <v>79500</v>
      </c>
      <c r="O144" s="168">
        <f ca="1">IF(L144&gt;0,N144*100/L144,0)</f>
        <v>48.623853211009177</v>
      </c>
      <c r="P144" s="168">
        <f ca="1">IF(M144&gt;0,N144*100/M144,0)</f>
        <v>60.582968184416082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IFERROR(__xludf.DUMMYFUNCTION("IMPORTRANGE(""https://docs.google.com/spreadsheets/d/1Yj_ptqi66GCucihVvJfMjLAmec39IyEx_6qawtMGysU/edit?usp=sharing"",""สบก!BF24"")"),0)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IFERROR(__xludf.DUMMYFUNCTION("IMPORTRANGE(""https://docs.google.com/spreadsheets/d/1Yj_ptqi66GCucihVvJfMjLAmec39IyEx_6qawtMGysU/edit?usp=sharing"",""สบก!BG24"")"),163500)</f>
        <v>163500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IFERROR(__xludf.DUMMYFUNCTION("IMPORTRANGE(""https://docs.google.com/spreadsheets/d/1Yj_ptqi66GCucihVvJfMjLAmec39IyEx_6qawtMGysU/edit?usp=sharing"",""สบก!BH24"")"),0)</f>
        <v>0</v>
      </c>
      <c r="M148" s="50"/>
      <c r="N148" s="50">
        <f ca="1">IFERROR(__xludf.DUMMYFUNCTION("IMPORTRANGE(""https://docs.google.com/spreadsheets/d/1Yj_ptqi66GCucihVvJfMjLAmec39IyEx_6qawtMGysU/edit?usp=sharing"",""สบก!BL24"")"),0)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IFERROR(__xludf.DUMMYFUNCTION("IMPORTRANGE(""https://docs.google.com/spreadsheets/d/11923uPwbBZFjjGgGUA6NLw09EwE0CqkOc4q9oUmW1yo/edit?usp=sharing"",""นครสวรรค์!I74"")"),4)</f>
        <v>4</v>
      </c>
      <c r="J149" s="275">
        <f ca="1">IFERROR(__xludf.DUMMYFUNCTION("IMPORTRANGE(""https://docs.google.com/spreadsheets/d/11923uPwbBZFjjGgGUA6NLw09EwE0CqkOc4q9oUmW1yo/edit?usp=sharing"",""นครสวรรค์!J74"")"),3)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IFERROR(__xludf.DUMMYFUNCTION("IMPORTRANGE(""https://docs.google.com/spreadsheets/d/11923uPwbBZFjjGgGUA6NLw09EwE0CqkOc4q9oUmW1yo/edit?usp=sharing"",""นครสวรรค์!J79"")"),0)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IFERROR(__xludf.DUMMYFUNCTION("IMPORTRANGE(""https://docs.google.com/spreadsheets/d/11923uPwbBZFjjGgGUA6NLw09EwE0CqkOc4q9oUmW1yo/edit?usp=sharing"",""นครสวรรค์!J80"")"),1)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IFERROR(__xludf.DUMMYFUNCTION("IMPORTRANGE(""https://docs.google.com/spreadsheets/d/11923uPwbBZFjjGgGUA6NLw09EwE0CqkOc4q9oUmW1yo/edit?usp=sharing"",""นครสวรรค์!J81"")"),1)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IFERROR(__xludf.DUMMYFUNCTION("IMPORTRANGE(""https://docs.google.com/spreadsheets/d/11923uPwbBZFjjGgGUA6NLw09EwE0CqkOc4q9oUmW1yo/edit?usp=sharing"",""นครสวรรค์!J82"")"),1)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IFERROR(__xludf.DUMMYFUNCTION("IMPORTRANGE(""https://docs.google.com/spreadsheets/d/11923uPwbBZFjjGgGUA6NLw09EwE0CqkOc4q9oUmW1yo/edit?usp=sharing"",""นครสวรรค์!I83"")"),4)</f>
        <v>4</v>
      </c>
      <c r="J158" s="188">
        <f ca="1">IFERROR(__xludf.DUMMYFUNCTION("IMPORTRANGE(""https://docs.google.com/spreadsheets/d/11923uPwbBZFjjGgGUA6NLw09EwE0CqkOc4q9oUmW1yo/edit?usp=sharing"",""นครสวรรค์!J83"")"),3)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IFERROR(__xludf.DUMMYFUNCTION("IMPORTRANGE(""https://docs.google.com/spreadsheets/d/11923uPwbBZFjjGgGUA6NLw09EwE0CqkOc4q9oUmW1yo/edit?usp=sharing"",""นครสวรรค์!J84"")"),102)</f>
        <v>102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IFERROR(__xludf.DUMMYFUNCTION("IMPORTRANGE(""https://docs.google.com/spreadsheets/d/11923uPwbBZFjjGgGUA6NLw09EwE0CqkOc4q9oUmW1yo/edit?usp=sharing"",""นครสวรรค์!J85"")"),102)</f>
        <v>102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IFERROR(__xludf.DUMMYFUNCTION("IMPORTRANGE(""https://docs.google.com/spreadsheets/d/11923uPwbBZFjjGgGUA6NLw09EwE0CqkOc4q9oUmW1yo/edit?usp=sharing"",""นครสวรรค์!J86"")"),0)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IFERROR(__xludf.DUMMYFUNCTION("IMPORTRANGE(""https://docs.google.com/spreadsheets/d/11923uPwbBZFjjGgGUA6NLw09EwE0CqkOc4q9oUmW1yo/edit?usp=sharing"",""นครสวรรค์!J87"")"),0)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IFERROR(__xludf.DUMMYFUNCTION("IMPORTRANGE(""https://docs.google.com/spreadsheets/d/11923uPwbBZFjjGgGUA6NLw09EwE0CqkOc4q9oUmW1yo/edit?usp=sharing"",""นครสวรรค์!J88"")"),0)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IFERROR(__xludf.DUMMYFUNCTION("IMPORTRANGE(""https://docs.google.com/spreadsheets/d/11923uPwbBZFjjGgGUA6NLw09EwE0CqkOc4q9oUmW1yo/edit?usp=sharing"",""นครสวรรค์!I89"")"),5)</f>
        <v>5</v>
      </c>
      <c r="J164" s="284">
        <f ca="1">IFERROR(__xludf.DUMMYFUNCTION("IMPORTRANGE(""https://docs.google.com/spreadsheets/d/11923uPwbBZFjjGgGUA6NLw09EwE0CqkOc4q9oUmW1yo/edit?usp=sharing"",""นครสวรรค์!J89"")"),5)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IFERROR(__xludf.DUMMYFUNCTION("IMPORTRANGE(""https://docs.google.com/spreadsheets/d/11923uPwbBZFjjGgGUA6NLw09EwE0CqkOc4q9oUmW1yo/edit?usp=sharing"",""นครสวรรค์!J94"")"),0)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IFERROR(__xludf.DUMMYFUNCTION("IMPORTRANGE(""https://docs.google.com/spreadsheets/d/11923uPwbBZFjjGgGUA6NLw09EwE0CqkOc4q9oUmW1yo/edit?usp=sharing"",""นครสวรรค์!J95"")"),1)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IFERROR(__xludf.DUMMYFUNCTION("IMPORTRANGE(""https://docs.google.com/spreadsheets/d/11923uPwbBZFjjGgGUA6NLw09EwE0CqkOc4q9oUmW1yo/edit?usp=sharing"",""นครสวรรค์!J96"")"),1)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IFERROR(__xludf.DUMMYFUNCTION("IMPORTRANGE(""https://docs.google.com/spreadsheets/d/11923uPwbBZFjjGgGUA6NLw09EwE0CqkOc4q9oUmW1yo/edit?usp=sharing"",""นครสวรรค์!J97"")"),1)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IFERROR(__xludf.DUMMYFUNCTION("IMPORTRANGE(""https://docs.google.com/spreadsheets/d/11923uPwbBZFjjGgGUA6NLw09EwE0CqkOc4q9oUmW1yo/edit?usp=sharing"",""นครสวรรค์!I98"")"),5)</f>
        <v>5</v>
      </c>
      <c r="J173" s="188">
        <f ca="1">IFERROR(__xludf.DUMMYFUNCTION("IMPORTRANGE(""https://docs.google.com/spreadsheets/d/11923uPwbBZFjjGgGUA6NLw09EwE0CqkOc4q9oUmW1yo/edit?usp=sharing"",""นครสวรรค์!J98"")"),5)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IFERROR(__xludf.DUMMYFUNCTION("IMPORTRANGE(""https://docs.google.com/spreadsheets/d/11923uPwbBZFjjGgGUA6NLw09EwE0CqkOc4q9oUmW1yo/edit?usp=sharing"",""นครสวรรค์!J99"")"),1)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IFERROR(__xludf.DUMMYFUNCTION("IMPORTRANGE(""https://docs.google.com/spreadsheets/d/11923uPwbBZFjjGgGUA6NLw09EwE0CqkOc4q9oUmW1yo/edit?usp=sharing"",""นครสวรรค์!J100"")"),0)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IFERROR(__xludf.DUMMYFUNCTION("IMPORTRANGE(""https://docs.google.com/spreadsheets/d/11923uPwbBZFjjGgGUA6NLw09EwE0CqkOc4q9oUmW1yo/edit?usp=sharing"",""นครสวรรค์!I101"")"),0)</f>
        <v>0</v>
      </c>
      <c r="J176" s="284">
        <f ca="1">IFERROR(__xludf.DUMMYFUNCTION("IMPORTRANGE(""https://docs.google.com/spreadsheets/d/11923uPwbBZFjjGgGUA6NLw09EwE0CqkOc4q9oUmW1yo/edit?usp=sharing"",""นครสวรรค์!J101"")"),0)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IFERROR(__xludf.DUMMYFUNCTION("IMPORTRANGE(""https://docs.google.com/spreadsheets/d/11923uPwbBZFjjGgGUA6NLw09EwE0CqkOc4q9oUmW1yo/edit?usp=sharing"",""นครสวรรค์!J106"")"),0)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IFERROR(__xludf.DUMMYFUNCTION("IMPORTRANGE(""https://docs.google.com/spreadsheets/d/11923uPwbBZFjjGgGUA6NLw09EwE0CqkOc4q9oUmW1yo/edit?usp=sharing"",""นครสวรรค์!J107"")"),0)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IFERROR(__xludf.DUMMYFUNCTION("IMPORTRANGE(""https://docs.google.com/spreadsheets/d/11923uPwbBZFjjGgGUA6NLw09EwE0CqkOc4q9oUmW1yo/edit?usp=sharing"",""นครสวรรค์!J108"")"),0)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IFERROR(__xludf.DUMMYFUNCTION("IMPORTRANGE(""https://docs.google.com/spreadsheets/d/11923uPwbBZFjjGgGUA6NLw09EwE0CqkOc4q9oUmW1yo/edit?usp=sharing"",""นครสวรรค์!J109"")"),0)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IFERROR(__xludf.DUMMYFUNCTION("IMPORTRANGE(""https://docs.google.com/spreadsheets/d/11923uPwbBZFjjGgGUA6NLw09EwE0CqkOc4q9oUmW1yo/edit?usp=sharing"",""นครสวรรค์!I110"")"),0)</f>
        <v>0</v>
      </c>
      <c r="J185" s="203">
        <f ca="1">IFERROR(__xludf.DUMMYFUNCTION("IMPORTRANGE(""https://docs.google.com/spreadsheets/d/11923uPwbBZFjjGgGUA6NLw09EwE0CqkOc4q9oUmW1yo/edit?usp=sharing"",""นครสวรรค์!J110"")"),0)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IFERROR(__xludf.DUMMYFUNCTION("IMPORTRANGE(""https://docs.google.com/spreadsheets/d/11923uPwbBZFjjGgGUA6NLw09EwE0CqkOc4q9oUmW1yo/edit?usp=sharing"",""นครสวรรค์!I111"")"),0)</f>
        <v>0</v>
      </c>
      <c r="J186" s="203">
        <f ca="1">IFERROR(__xludf.DUMMYFUNCTION("IMPORTRANGE(""https://docs.google.com/spreadsheets/d/11923uPwbBZFjjGgGUA6NLw09EwE0CqkOc4q9oUmW1yo/edit?usp=sharing"",""นครสวรรค์!J111"")"),0)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IFERROR(__xludf.DUMMYFUNCTION("IMPORTRANGE(""https://docs.google.com/spreadsheets/d/11923uPwbBZFjjGgGUA6NLw09EwE0CqkOc4q9oUmW1yo/edit?usp=sharing"",""นครสวรรค์!J112"")"),0)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IFERROR(__xludf.DUMMYFUNCTION("IMPORTRANGE(""https://docs.google.com/spreadsheets/d/11923uPwbBZFjjGgGUA6NLw09EwE0CqkOc4q9oUmW1yo/edit?usp=sharing"",""นครสวรรค์!J113"")"),0)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IFERROR(__xludf.DUMMYFUNCTION("IMPORTRANGE(""https://docs.google.com/spreadsheets/d/11923uPwbBZFjjGgGUA6NLw09EwE0CqkOc4q9oUmW1yo/edit?usp=sharing"",""นครสวรรค์!I114"")"),300000)</f>
        <v>300000</v>
      </c>
      <c r="J189" s="284">
        <f ca="1">IFERROR(__xludf.DUMMYFUNCTION("IMPORTRANGE(""https://docs.google.com/spreadsheets/d/11923uPwbBZFjjGgGUA6NLw09EwE0CqkOc4q9oUmW1yo/edit?usp=sharing"",""นครสวรรค์!J114"")"),0)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IFERROR(__xludf.DUMMYFUNCTION("IMPORTRANGE(""https://docs.google.com/spreadsheets/d/11923uPwbBZFjjGgGUA6NLw09EwE0CqkOc4q9oUmW1yo/edit?usp=sharing"",""นครสวรรค์!J119"")"),0)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IFERROR(__xludf.DUMMYFUNCTION("IMPORTRANGE(""https://docs.google.com/spreadsheets/d/11923uPwbBZFjjGgGUA6NLw09EwE0CqkOc4q9oUmW1yo/edit?usp=sharing"",""นครสวรรค์!J120"")"),1)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IFERROR(__xludf.DUMMYFUNCTION("IMPORTRANGE(""https://docs.google.com/spreadsheets/d/11923uPwbBZFjjGgGUA6NLw09EwE0CqkOc4q9oUmW1yo/edit?usp=sharing"",""นครสวรรค์!J121"")"),1)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IFERROR(__xludf.DUMMYFUNCTION("IMPORTRANGE(""https://docs.google.com/spreadsheets/d/11923uPwbBZFjjGgGUA6NLw09EwE0CqkOc4q9oUmW1yo/edit?usp=sharing"",""นครสวรรค์!J122"")"),1)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IFERROR(__xludf.DUMMYFUNCTION("IMPORTRANGE(""https://docs.google.com/spreadsheets/d/11923uPwbBZFjjGgGUA6NLw09EwE0CqkOc4q9oUmW1yo/edit?usp=sharing"",""นครสวรรค์!I124"")"),300000)</f>
        <v>300000</v>
      </c>
      <c r="J199" s="188">
        <f ca="1">IFERROR(__xludf.DUMMYFUNCTION("IMPORTRANGE(""https://docs.google.com/spreadsheets/d/11923uPwbBZFjjGgGUA6NLw09EwE0CqkOc4q9oUmW1yo/edit?usp=sharing"",""นครสวรรค์!J124"")"),300000)</f>
        <v>300000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IFERROR(__xludf.DUMMYFUNCTION("IMPORTRANGE(""https://docs.google.com/spreadsheets/d/11923uPwbBZFjjGgGUA6NLw09EwE0CqkOc4q9oUmW1yo/edit?usp=sharing"",""นครสวรรค์!I125"")"),300000)</f>
        <v>300000</v>
      </c>
      <c r="J200" s="188">
        <f ca="1">IFERROR(__xludf.DUMMYFUNCTION("IMPORTRANGE(""https://docs.google.com/spreadsheets/d/11923uPwbBZFjjGgGUA6NLw09EwE0CqkOc4q9oUmW1yo/edit?usp=sharing"",""นครสวรรค์!J125"")"),0)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IFERROR(__xludf.DUMMYFUNCTION("IMPORTRANGE(""https://docs.google.com/spreadsheets/d/11923uPwbBZFjjGgGUA6NLw09EwE0CqkOc4q9oUmW1yo/edit?usp=sharing"",""นครสวรรค์!I126"")"),0)</f>
        <v>0</v>
      </c>
      <c r="J201" s="188">
        <f ca="1">IFERROR(__xludf.DUMMYFUNCTION("IMPORTRANGE(""https://docs.google.com/spreadsheets/d/11923uPwbBZFjjGgGUA6NLw09EwE0CqkOc4q9oUmW1yo/edit?usp=sharing"",""นครสวรรค์!J126"")"),0)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IFERROR(__xludf.DUMMYFUNCTION("IMPORTRANGE(""https://docs.google.com/spreadsheets/d/11923uPwbBZFjjGgGUA6NLw09EwE0CqkOc4q9oUmW1yo/edit?usp=sharing"",""นครสวรรค์!J127"")"),0)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IFERROR(__xludf.DUMMYFUNCTION("IMPORTRANGE(""https://docs.google.com/spreadsheets/d/11923uPwbBZFjjGgGUA6NLw09EwE0CqkOc4q9oUmW1yo/edit?usp=sharing"",""นครสวรรค์!J128"")"),0)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IFERROR(__xludf.DUMMYFUNCTION("IMPORTRANGE(""https://docs.google.com/spreadsheets/d/11923uPwbBZFjjGgGUA6NLw09EwE0CqkOc4q9oUmW1yo/edit?usp=sharing"",""นครสวรรค์!I129"")"),0)</f>
        <v>0</v>
      </c>
      <c r="J204" s="284">
        <f ca="1">IFERROR(__xludf.DUMMYFUNCTION("IMPORTRANGE(""https://docs.google.com/spreadsheets/d/11923uPwbBZFjjGgGUA6NLw09EwE0CqkOc4q9oUmW1yo/edit?usp=sharing"",""นครสวรรค์!J129"")"),0)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IFERROR(__xludf.DUMMYFUNCTION("IMPORTRANGE(""https://docs.google.com/spreadsheets/d/11923uPwbBZFjjGgGUA6NLw09EwE0CqkOc4q9oUmW1yo/edit?usp=sharing"",""นครสวรรค์!J134"")"),0)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IFERROR(__xludf.DUMMYFUNCTION("IMPORTRANGE(""https://docs.google.com/spreadsheets/d/11923uPwbBZFjjGgGUA6NLw09EwE0CqkOc4q9oUmW1yo/edit?usp=sharing"",""นครสวรรค์!J135"")"),0)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IFERROR(__xludf.DUMMYFUNCTION("IMPORTRANGE(""https://docs.google.com/spreadsheets/d/11923uPwbBZFjjGgGUA6NLw09EwE0CqkOc4q9oUmW1yo/edit?usp=sharing"",""นครสวรรค์!J136"")"),0)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IFERROR(__xludf.DUMMYFUNCTION("IMPORTRANGE(""https://docs.google.com/spreadsheets/d/11923uPwbBZFjjGgGUA6NLw09EwE0CqkOc4q9oUmW1yo/edit?usp=sharing"",""นครสวรรค์!J137"")"),0)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IFERROR(__xludf.DUMMYFUNCTION("IMPORTRANGE(""https://docs.google.com/spreadsheets/d/11923uPwbBZFjjGgGUA6NLw09EwE0CqkOc4q9oUmW1yo/edit?usp=sharing"",""นครสวรรค์!I138"")"),0)</f>
        <v>0</v>
      </c>
      <c r="J213" s="203">
        <f ca="1">IFERROR(__xludf.DUMMYFUNCTION("IMPORTRANGE(""https://docs.google.com/spreadsheets/d/11923uPwbBZFjjGgGUA6NLw09EwE0CqkOc4q9oUmW1yo/edit?usp=sharing"",""นครสวรรค์!J138"")"),0)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IFERROR(__xludf.DUMMYFUNCTION("IMPORTRANGE(""https://docs.google.com/spreadsheets/d/11923uPwbBZFjjGgGUA6NLw09EwE0CqkOc4q9oUmW1yo/edit?usp=sharing"",""นครสวรรค์!I140"")"),0)</f>
        <v>0</v>
      </c>
      <c r="J215" s="203">
        <f ca="1">IFERROR(__xludf.DUMMYFUNCTION("IMPORTRANGE(""https://docs.google.com/spreadsheets/d/11923uPwbBZFjjGgGUA6NLw09EwE0CqkOc4q9oUmW1yo/edit?usp=sharing"",""นครสวรรค์!J140"")"),0)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IFERROR(__xludf.DUMMYFUNCTION("IMPORTRANGE(""https://docs.google.com/spreadsheets/d/11923uPwbBZFjjGgGUA6NLw09EwE0CqkOc4q9oUmW1yo/edit?usp=sharing"",""นครสวรรค์!I141"")"),0)</f>
        <v>0</v>
      </c>
      <c r="J216" s="203">
        <f ca="1">IFERROR(__xludf.DUMMYFUNCTION("IMPORTRANGE(""https://docs.google.com/spreadsheets/d/11923uPwbBZFjjGgGUA6NLw09EwE0CqkOc4q9oUmW1yo/edit?usp=sharing"",""นครสวรรค์!J141"")"),0)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IFERROR(__xludf.DUMMYFUNCTION("IMPORTRANGE(""https://docs.google.com/spreadsheets/d/11923uPwbBZFjjGgGUA6NLw09EwE0CqkOc4q9oUmW1yo/edit?usp=sharing"",""นครสวรรค์!J142"")"),0)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IFERROR(__xludf.DUMMYFUNCTION("IMPORTRANGE(""https://docs.google.com/spreadsheets/d/11923uPwbBZFjjGgGUA6NLw09EwE0CqkOc4q9oUmW1yo/edit?usp=sharing"",""นครสวรรค์!J143"")"),0)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IFERROR(__xludf.DUMMYFUNCTION("IMPORTRANGE(""https://docs.google.com/spreadsheets/d/11923uPwbBZFjjGgGUA6NLw09EwE0CqkOc4q9oUmW1yo/edit?usp=sharing"",""นครสวรรค์!I144"")"),15)</f>
        <v>15</v>
      </c>
      <c r="J219" s="267">
        <f ca="1">IFERROR(__xludf.DUMMYFUNCTION("IMPORTRANGE(""https://docs.google.com/spreadsheets/d/11923uPwbBZFjjGgGUA6NLw09EwE0CqkOc4q9oUmW1yo/edit?usp=sharing"",""นครสวรรค์!J144"")"),15)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IFERROR(__xludf.DUMMYFUNCTION("IMPORTRANGE(""https://docs.google.com/spreadsheets/d/1Yj_ptqi66GCucihVvJfMjLAmec39IyEx_6qawtMGysU/edit?usp=sharing"",""สบก!BS24"")"),21125)</f>
        <v>21125</v>
      </c>
      <c r="N224" s="168">
        <f ca="1">IFERROR(__xludf.DUMMYFUNCTION("IMPORTRANGE(""https://docs.google.com/spreadsheets/d/1Yj_ptqi66GCucihVvJfMjLAmec39IyEx_6qawtMGysU/edit?usp=sharing"",""สบก!BT24"")"),21125)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IFERROR(__xludf.DUMMYFUNCTION("IMPORTRANGE(""https://docs.google.com/spreadsheets/d/1Yj_ptqi66GCucihVvJfMjLAmec39IyEx_6qawtMGysU/edit?usp=sharing"",""สบก!BO24"")"),0)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IFERROR(__xludf.DUMMYFUNCTION("IMPORTRANGE(""https://docs.google.com/spreadsheets/d/1Yj_ptqi66GCucihVvJfMjLAmec39IyEx_6qawtMGysU/edit?usp=sharing"",""สบก!BP24"")"),21125)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IFERROR(__xludf.DUMMYFUNCTION("IMPORTRANGE(""https://docs.google.com/spreadsheets/d/1Yj_ptqi66GCucihVvJfMjLAmec39IyEx_6qawtMGysU/edit?usp=sharing"",""สบก!BQ24"")"),0)</f>
        <v>0</v>
      </c>
      <c r="M228" s="50"/>
      <c r="N228" s="50">
        <f ca="1">IFERROR(__xludf.DUMMYFUNCTION("IMPORTRANGE(""https://docs.google.com/spreadsheets/d/1Yj_ptqi66GCucihVvJfMjLAmec39IyEx_6qawtMGysU/edit?usp=sharing"",""สบก!BU24"")"),0)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IFERROR(__xludf.DUMMYFUNCTION("IMPORTRANGE(""https://docs.google.com/spreadsheets/d/11923uPwbBZFjjGgGUA6NLw09EwE0CqkOc4q9oUmW1yo/edit?usp=sharing"",""นครสวรรค์!I149"")"),15)</f>
        <v>15</v>
      </c>
      <c r="J229" s="267">
        <f ca="1">IFERROR(__xludf.DUMMYFUNCTION("IMPORTRANGE(""https://docs.google.com/spreadsheets/d/11923uPwbBZFjjGgGUA6NLw09EwE0CqkOc4q9oUmW1yo/edit?usp=sharing"",""นครสวรรค์!J149"")"),15)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IFERROR(__xludf.DUMMYFUNCTION("IMPORTRANGE(""https://docs.google.com/spreadsheets/d/11923uPwbBZFjjGgGUA6NLw09EwE0CqkOc4q9oUmW1yo/edit?usp=sharing"",""นครสวรรค์!J151"")"),0)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IFERROR(__xludf.DUMMYFUNCTION("IMPORTRANGE(""https://docs.google.com/spreadsheets/d/11923uPwbBZFjjGgGUA6NLw09EwE0CqkOc4q9oUmW1yo/edit?usp=sharing"",""นครสวรรค์!J152"")"),1)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IFERROR(__xludf.DUMMYFUNCTION("IMPORTRANGE(""https://docs.google.com/spreadsheets/d/11923uPwbBZFjjGgGUA6NLw09EwE0CqkOc4q9oUmW1yo/edit?usp=sharing"",""นครสวรรค์!J153"")"),1)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IFERROR(__xludf.DUMMYFUNCTION("IMPORTRANGE(""https://docs.google.com/spreadsheets/d/11923uPwbBZFjjGgGUA6NLw09EwE0CqkOc4q9oUmW1yo/edit?usp=sharing"",""นครสวรรค์!J154"")"),1)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IFERROR(__xludf.DUMMYFUNCTION("IMPORTRANGE(""https://docs.google.com/spreadsheets/d/11923uPwbBZFjjGgGUA6NLw09EwE0CqkOc4q9oUmW1yo/edit?usp=sharing"",""นครสวรรค์!I155"")"),15)</f>
        <v>15</v>
      </c>
      <c r="J235" s="188">
        <f ca="1">IFERROR(__xludf.DUMMYFUNCTION("IMPORTRANGE(""https://docs.google.com/spreadsheets/d/11923uPwbBZFjjGgGUA6NLw09EwE0CqkOc4q9oUmW1yo/edit?usp=sharing"",""นครสวรรค์!J155"")"),15)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IFERROR(__xludf.DUMMYFUNCTION("IMPORTRANGE(""https://docs.google.com/spreadsheets/d/11923uPwbBZFjjGgGUA6NLw09EwE0CqkOc4q9oUmW1yo/edit?usp=sharing"",""นครสวรรค์!J156"")"),1)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IFERROR(__xludf.DUMMYFUNCTION("IMPORTRANGE(""https://docs.google.com/spreadsheets/d/11923uPwbBZFjjGgGUA6NLw09EwE0CqkOc4q9oUmW1yo/edit?usp=sharing"",""นครสวรรค์!J157"")"),0)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IFERROR(__xludf.DUMMYFUNCTION("IMPORTRANGE(""https://docs.google.com/spreadsheets/d/11923uPwbBZFjjGgGUA6NLw09EwE0CqkOc4q9oUmW1yo/edit?usp=sharing"",""นครสวรรค์!I158"")"),0)</f>
        <v>0</v>
      </c>
      <c r="J238" s="267">
        <f ca="1">IFERROR(__xludf.DUMMYFUNCTION("IMPORTRANGE(""https://docs.google.com/spreadsheets/d/11923uPwbBZFjjGgGUA6NLw09EwE0CqkOc4q9oUmW1yo/edit?usp=sharing"",""นครสวรรค์!J158"")"),0)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IFERROR(__xludf.DUMMYFUNCTION("IMPORTRANGE(""https://docs.google.com/spreadsheets/d/11923uPwbBZFjjGgGUA6NLw09EwE0CqkOc4q9oUmW1yo/edit?usp=sharing"",""นครสวรรค์!J159"")"),"")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IFERROR(__xludf.DUMMYFUNCTION("IMPORTRANGE(""https://docs.google.com/spreadsheets/d/11923uPwbBZFjjGgGUA6NLw09EwE0CqkOc4q9oUmW1yo/edit?usp=sharing"",""นครสวรรค์!J161"")"),0)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IFERROR(__xludf.DUMMYFUNCTION("IMPORTRANGE(""https://docs.google.com/spreadsheets/d/11923uPwbBZFjjGgGUA6NLw09EwE0CqkOc4q9oUmW1yo/edit?usp=sharing"",""นครสวรรค์!J162"")"),0)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IFERROR(__xludf.DUMMYFUNCTION("IMPORTRANGE(""https://docs.google.com/spreadsheets/d/11923uPwbBZFjjGgGUA6NLw09EwE0CqkOc4q9oUmW1yo/edit?usp=sharing"",""นครสวรรค์!J163"")"),0)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IFERROR(__xludf.DUMMYFUNCTION("IMPORTRANGE(""https://docs.google.com/spreadsheets/d/11923uPwbBZFjjGgGUA6NLw09EwE0CqkOc4q9oUmW1yo/edit?usp=sharing"",""นครสวรรค์!I164"")"),0)</f>
        <v>0</v>
      </c>
      <c r="J244" s="187">
        <f ca="1">IFERROR(__xludf.DUMMYFUNCTION("IMPORTRANGE(""https://docs.google.com/spreadsheets/d/11923uPwbBZFjjGgGUA6NLw09EwE0CqkOc4q9oUmW1yo/edit?usp=sharing"",""นครสวรรค์!J164"")"),0)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IFERROR(__xludf.DUMMYFUNCTION("IMPORTRANGE(""https://docs.google.com/spreadsheets/d/11923uPwbBZFjjGgGUA6NLw09EwE0CqkOc4q9oUmW1yo/edit?usp=sharing"",""นครสวรรค์!J165"")"),0)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IFERROR(__xludf.DUMMYFUNCTION("IMPORTRANGE(""https://docs.google.com/spreadsheets/d/11923uPwbBZFjjGgGUA6NLw09EwE0CqkOc4q9oUmW1yo/edit?usp=sharing"",""นครสวรรค์!J166"")"),0)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IFERROR(__xludf.DUMMYFUNCTION("IMPORTRANGE(""https://docs.google.com/spreadsheets/d/11923uPwbBZFjjGgGUA6NLw09EwE0CqkOc4q9oUmW1yo/edit?usp=sharing"",""นครสวรรค์!I169"")"),25)</f>
        <v>25</v>
      </c>
      <c r="J249" s="316">
        <f ca="1">IFERROR(__xludf.DUMMYFUNCTION("IMPORTRANGE(""https://docs.google.com/spreadsheets/d/11923uPwbBZFjjGgGUA6NLw09EwE0CqkOc4q9oUmW1yo/edit?usp=sharing"",""นครสวรรค์!J169"")"),25)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53144</v>
      </c>
      <c r="O250" s="151">
        <f t="shared" ref="O250:O252" ca="1" si="78">IF(L250&gt;0,N250*100/L250,0)</f>
        <v>59.7123595505618</v>
      </c>
      <c r="P250" s="151">
        <f t="shared" ref="P250:P252" ca="1" si="79">IF(M250&gt;0,N250*100/M250,0)</f>
        <v>111.8821052631579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89000</v>
      </c>
      <c r="M252" s="88">
        <f t="shared" ca="1" si="81"/>
        <v>47500</v>
      </c>
      <c r="N252" s="88">
        <f t="shared" ca="1" si="81"/>
        <v>53144</v>
      </c>
      <c r="O252" s="156">
        <f t="shared" ca="1" si="78"/>
        <v>59.7123595505618</v>
      </c>
      <c r="P252" s="156">
        <f t="shared" ca="1" si="79"/>
        <v>111.8821052631579</v>
      </c>
    </row>
    <row r="253" spans="1:16" ht="21.75" customHeight="1" x14ac:dyDescent="0.45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89000</v>
      </c>
      <c r="M254" s="167">
        <f ca="1">IFERROR(__xludf.DUMMYFUNCTION("IMPORTRANGE(""https://docs.google.com/spreadsheets/d/1Yj_ptqi66GCucihVvJfMjLAmec39IyEx_6qawtMGysU/edit?usp=sharing"",""สบก!CB24"")"),47500)</f>
        <v>47500</v>
      </c>
      <c r="N254" s="168">
        <f ca="1">IFERROR(__xludf.DUMMYFUNCTION("IMPORTRANGE(""https://docs.google.com/spreadsheets/d/1Yj_ptqi66GCucihVvJfMjLAmec39IyEx_6qawtMGysU/edit?usp=sharing"",""สบก!CC24"")"),53144)</f>
        <v>53144</v>
      </c>
      <c r="O254" s="168">
        <f ca="1">IF(L254&gt;0,N254*100/L254,0)</f>
        <v>59.7123595505618</v>
      </c>
      <c r="P254" s="168">
        <f ca="1">IF(M254&gt;0,N254*100/M254,0)</f>
        <v>111.8821052631579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IFERROR(__xludf.DUMMYFUNCTION("IMPORTRANGE(""https://docs.google.com/spreadsheets/d/1Yj_ptqi66GCucihVvJfMjLAmec39IyEx_6qawtMGysU/edit?usp=sharing"",""สบก!BX24"")"),0)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IFERROR(__xludf.DUMMYFUNCTION("IMPORTRANGE(""https://docs.google.com/spreadsheets/d/1Yj_ptqi66GCucihVvJfMjLAmec39IyEx_6qawtMGysU/edit?usp=sharing"",""สบก!BY24"")"),89000)</f>
        <v>89000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IFERROR(__xludf.DUMMYFUNCTION("IMPORTRANGE(""https://docs.google.com/spreadsheets/d/1Yj_ptqi66GCucihVvJfMjLAmec39IyEx_6qawtMGysU/edit?usp=sharing"",""สบก!BZ24"")"),0)</f>
        <v>0</v>
      </c>
      <c r="M258" s="50"/>
      <c r="N258" s="50">
        <f ca="1">IFERROR(__xludf.DUMMYFUNCTION("IMPORTRANGE(""https://docs.google.com/spreadsheets/d/1Yj_ptqi66GCucihVvJfMjLAmec39IyEx_6qawtMGysU/edit?usp=sharing"",""สบก!CD24"")"),0)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IFERROR(__xludf.DUMMYFUNCTION("IMPORTRANGE(""https://docs.google.com/spreadsheets/d/11923uPwbBZFjjGgGUA6NLw09EwE0CqkOc4q9oUmW1yo/edit?usp=sharing"",""นครสวรรค์!J175"")"),0)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IFERROR(__xludf.DUMMYFUNCTION("IMPORTRANGE(""https://docs.google.com/spreadsheets/d/11923uPwbBZFjjGgGUA6NLw09EwE0CqkOc4q9oUmW1yo/edit?usp=sharing"",""นครสวรรค์!J176"")"),1)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IFERROR(__xludf.DUMMYFUNCTION("IMPORTRANGE(""https://docs.google.com/spreadsheets/d/11923uPwbBZFjjGgGUA6NLw09EwE0CqkOc4q9oUmW1yo/edit?usp=sharing"",""นครสวรรค์!J177"")"),1)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IFERROR(__xludf.DUMMYFUNCTION("IMPORTRANGE(""https://docs.google.com/spreadsheets/d/11923uPwbBZFjjGgGUA6NLw09EwE0CqkOc4q9oUmW1yo/edit?usp=sharing"",""นครสวรรค์!J178"")"),1)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IFERROR(__xludf.DUMMYFUNCTION("IMPORTRANGE(""https://docs.google.com/spreadsheets/d/11923uPwbBZFjjGgGUA6NLw09EwE0CqkOc4q9oUmW1yo/edit?usp=sharing"",""นครสวรรค์!I179"")"),1)</f>
        <v>1</v>
      </c>
      <c r="J264" s="188">
        <f ca="1">IFERROR(__xludf.DUMMYFUNCTION("IMPORTRANGE(""https://docs.google.com/spreadsheets/d/11923uPwbBZFjjGgGUA6NLw09EwE0CqkOc4q9oUmW1yo/edit?usp=sharing"",""นครสวรรค์!J179"")"),2)</f>
        <v>2</v>
      </c>
      <c r="K264" s="163">
        <f t="shared" ref="K264:K267" ca="1" si="82">IF(I264&gt;0,J264*100/I264,0)</f>
        <v>200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IFERROR(__xludf.DUMMYFUNCTION("IMPORTRANGE(""https://docs.google.com/spreadsheets/d/11923uPwbBZFjjGgGUA6NLw09EwE0CqkOc4q9oUmW1yo/edit?usp=sharing"",""นครสวรรค์!I180"")"),25)</f>
        <v>25</v>
      </c>
      <c r="J265" s="188">
        <f ca="1">IFERROR(__xludf.DUMMYFUNCTION("IMPORTRANGE(""https://docs.google.com/spreadsheets/d/11923uPwbBZFjjGgGUA6NLw09EwE0CqkOc4q9oUmW1yo/edit?usp=sharing"",""นครสวรรค์!J180"")"),25)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IFERROR(__xludf.DUMMYFUNCTION("IMPORTRANGE(""https://docs.google.com/spreadsheets/d/11923uPwbBZFjjGgGUA6NLw09EwE0CqkOc4q9oUmW1yo/edit?usp=sharing"",""นครสวรรค์!I181"")"),25)</f>
        <v>25</v>
      </c>
      <c r="J266" s="188">
        <f ca="1">IFERROR(__xludf.DUMMYFUNCTION("IMPORTRANGE(""https://docs.google.com/spreadsheets/d/11923uPwbBZFjjGgGUA6NLw09EwE0CqkOc4q9oUmW1yo/edit?usp=sharing"",""นครสวรรค์!J181"")"),0)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IFERROR(__xludf.DUMMYFUNCTION("IMPORTRANGE(""https://docs.google.com/spreadsheets/d/11923uPwbBZFjjGgGUA6NLw09EwE0CqkOc4q9oUmW1yo/edit?usp=sharing"",""นครสวรรค์!I182"")"),1)</f>
        <v>1</v>
      </c>
      <c r="J267" s="188">
        <f ca="1">IFERROR(__xludf.DUMMYFUNCTION("IMPORTRANGE(""https://docs.google.com/spreadsheets/d/11923uPwbBZFjjGgGUA6NLw09EwE0CqkOc4q9oUmW1yo/edit?usp=sharing"",""นครสวรรค์!J182"")"),2)</f>
        <v>2</v>
      </c>
      <c r="K267" s="163">
        <f t="shared" ca="1" si="82"/>
        <v>200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IFERROR(__xludf.DUMMYFUNCTION("IMPORTRANGE(""https://docs.google.com/spreadsheets/d/11923uPwbBZFjjGgGUA6NLw09EwE0CqkOc4q9oUmW1yo/edit?usp=sharing"",""นครสวรรค์!J183"")"),0)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IFERROR(__xludf.DUMMYFUNCTION("IMPORTRANGE(""https://docs.google.com/spreadsheets/d/11923uPwbBZFjjGgGUA6NLw09EwE0CqkOc4q9oUmW1yo/edit?usp=sharing"",""นครสวรรค์!J184"")"),0)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IFERROR(__xludf.DUMMYFUNCTION("IMPORTRANGE(""https://docs.google.com/spreadsheets/d/11923uPwbBZFjjGgGUA6NLw09EwE0CqkOc4q9oUmW1yo/edit?usp=sharing"",""นครสวรรค์!I185"")"),20)</f>
        <v>20</v>
      </c>
      <c r="J270" s="316">
        <f ca="1">IFERROR(__xludf.DUMMYFUNCTION("IMPORTRANGE(""https://docs.google.com/spreadsheets/d/11923uPwbBZFjjGgGUA6NLw09EwE0CqkOc4q9oUmW1yo/edit?usp=sharing"",""นครสวรรค์!J185"")"),20)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94928</v>
      </c>
      <c r="O271" s="151">
        <f t="shared" ref="O271:O273" ca="1" si="84">IF(L271&gt;0,N271*100/L271,0)</f>
        <v>51.703703703703702</v>
      </c>
      <c r="P271" s="151">
        <f t="shared" ref="P271:P273" ca="1" si="85">IF(M271&gt;0,N271*100/M271,0)</f>
        <v>58.742574257425744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161600</v>
      </c>
      <c r="N273" s="88">
        <f t="shared" ca="1" si="87"/>
        <v>94928</v>
      </c>
      <c r="O273" s="156">
        <f t="shared" ca="1" si="84"/>
        <v>51.703703703703702</v>
      </c>
      <c r="P273" s="156">
        <f t="shared" ca="1" si="85"/>
        <v>58.742574257425744</v>
      </c>
    </row>
    <row r="274" spans="1:16" ht="21.75" customHeight="1" x14ac:dyDescent="0.45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IFERROR(__xludf.DUMMYFUNCTION("IMPORTRANGE(""https://docs.google.com/spreadsheets/d/1Yj_ptqi66GCucihVvJfMjLAmec39IyEx_6qawtMGysU/edit?usp=sharing"",""สบก!CK24"")"),161600)</f>
        <v>161600</v>
      </c>
      <c r="N275" s="168">
        <f ca="1">IFERROR(__xludf.DUMMYFUNCTION("IMPORTRANGE(""https://docs.google.com/spreadsheets/d/1Yj_ptqi66GCucihVvJfMjLAmec39IyEx_6qawtMGysU/edit?usp=sharing"",""สบก!CL24"")"),94928)</f>
        <v>94928</v>
      </c>
      <c r="O275" s="168">
        <f ca="1">IF(L275&gt;0,N275*100/L275,0)</f>
        <v>51.703703703703702</v>
      </c>
      <c r="P275" s="168">
        <f ca="1">IF(M275&gt;0,N275*100/M275,0)</f>
        <v>58.742574257425744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IFERROR(__xludf.DUMMYFUNCTION("IMPORTRANGE(""https://docs.google.com/spreadsheets/d/1Yj_ptqi66GCucihVvJfMjLAmec39IyEx_6qawtMGysU/edit?usp=sharing"",""สบก!CG24"")"),0)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IFERROR(__xludf.DUMMYFUNCTION("IMPORTRANGE(""https://docs.google.com/spreadsheets/d/1Yj_ptqi66GCucihVvJfMjLAmec39IyEx_6qawtMGysU/edit?usp=sharing"",""สบก!CH24"")"),183600)</f>
        <v>183600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IFERROR(__xludf.DUMMYFUNCTION("IMPORTRANGE(""https://docs.google.com/spreadsheets/d/1Yj_ptqi66GCucihVvJfMjLAmec39IyEx_6qawtMGysU/edit?usp=sharing"",""สบก!CI24"")"),0)</f>
        <v>0</v>
      </c>
      <c r="M279" s="50"/>
      <c r="N279" s="50">
        <f ca="1">IFERROR(__xludf.DUMMYFUNCTION("IMPORTRANGE(""https://docs.google.com/spreadsheets/d/1Yj_ptqi66GCucihVvJfMjLAmec39IyEx_6qawtMGysU/edit?usp=sharing"",""สบก!CM24"")"),0)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IFERROR(__xludf.DUMMYFUNCTION("IMPORTRANGE(""https://docs.google.com/spreadsheets/d/11923uPwbBZFjjGgGUA6NLw09EwE0CqkOc4q9oUmW1yo/edit?usp=sharing"",""นครสวรรค์!J191"")"),0)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IFERROR(__xludf.DUMMYFUNCTION("IMPORTRANGE(""https://docs.google.com/spreadsheets/d/11923uPwbBZFjjGgGUA6NLw09EwE0CqkOc4q9oUmW1yo/edit?usp=sharing"",""นครสวรรค์!J192"")"),1)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IFERROR(__xludf.DUMMYFUNCTION("IMPORTRANGE(""https://docs.google.com/spreadsheets/d/11923uPwbBZFjjGgGUA6NLw09EwE0CqkOc4q9oUmW1yo/edit?usp=sharing"",""นครสวรรค์!J193"")"),1)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IFERROR(__xludf.DUMMYFUNCTION("IMPORTRANGE(""https://docs.google.com/spreadsheets/d/11923uPwbBZFjjGgGUA6NLw09EwE0CqkOc4q9oUmW1yo/edit?usp=sharing"",""นครสวรรค์!J194"")"),1)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IFERROR(__xludf.DUMMYFUNCTION("IMPORTRANGE(""https://docs.google.com/spreadsheets/d/11923uPwbBZFjjGgGUA6NLw09EwE0CqkOc4q9oUmW1yo/edit?usp=sharing"",""นครสวรรค์!I195"")"),20)</f>
        <v>20</v>
      </c>
      <c r="J285" s="188">
        <f ca="1">IFERROR(__xludf.DUMMYFUNCTION("IMPORTRANGE(""https://docs.google.com/spreadsheets/d/11923uPwbBZFjjGgGUA6NLw09EwE0CqkOc4q9oUmW1yo/edit?usp=sharing"",""นครสวรรค์!J195"")"),20)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IFERROR(__xludf.DUMMYFUNCTION("IMPORTRANGE(""https://docs.google.com/spreadsheets/d/11923uPwbBZFjjGgGUA6NLw09EwE0CqkOc4q9oUmW1yo/edit?usp=sharing"",""นครสวรรค์!J196"")"),0)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IFERROR(__xludf.DUMMYFUNCTION("IMPORTRANGE(""https://docs.google.com/spreadsheets/d/11923uPwbBZFjjGgGUA6NLw09EwE0CqkOc4q9oUmW1yo/edit?usp=sharing"",""นครสวรรค์!J197"")"),0)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IFERROR(__xludf.DUMMYFUNCTION("IMPORTRANGE(""https://docs.google.com/spreadsheets/d/11923uPwbBZFjjGgGUA6NLw09EwE0CqkOc4q9oUmW1yo/edit?usp=sharing"",""นครสวรรค์!I199"")"),0)</f>
        <v>0</v>
      </c>
      <c r="J289" s="316">
        <f ca="1">IFERROR(__xludf.DUMMYFUNCTION("IMPORTRANGE(""https://docs.google.com/spreadsheets/d/11923uPwbBZFjjGgGUA6NLw09EwE0CqkOc4q9oUmW1yo/edit?usp=sharing"",""นครสวรรค์!J199"")"),0)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IFERROR(__xludf.DUMMYFUNCTION("IMPORTRANGE(""https://docs.google.com/spreadsheets/d/1Yj_ptqi66GCucihVvJfMjLAmec39IyEx_6qawtMGysU/edit?usp=sharing"",""สบก!CT24"")"),0)</f>
        <v>0</v>
      </c>
      <c r="N294" s="168">
        <f ca="1">IFERROR(__xludf.DUMMYFUNCTION("IMPORTRANGE(""https://docs.google.com/spreadsheets/d/1Yj_ptqi66GCucihVvJfMjLAmec39IyEx_6qawtMGysU/edit?usp=sharing"",""สบก!CU24"")"),0)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IFERROR(__xludf.DUMMYFUNCTION("IMPORTRANGE(""https://docs.google.com/spreadsheets/d/1Yj_ptqi66GCucihVvJfMjLAmec39IyEx_6qawtMGysU/edit?usp=sharing"",""สบก!CP24"")"),0)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IFERROR(__xludf.DUMMYFUNCTION("IMPORTRANGE(""https://docs.google.com/spreadsheets/d/1Yj_ptqi66GCucihVvJfMjLAmec39IyEx_6qawtMGysU/edit?usp=sharing"",""สบก!CQ24"")"),0)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IFERROR(__xludf.DUMMYFUNCTION("IMPORTRANGE(""https://docs.google.com/spreadsheets/d/1Yj_ptqi66GCucihVvJfMjLAmec39IyEx_6qawtMGysU/edit?usp=sharing"",""สบก!CR24"")"),0)</f>
        <v>0</v>
      </c>
      <c r="M298" s="50"/>
      <c r="N298" s="50">
        <f ca="1">IFERROR(__xludf.DUMMYFUNCTION("IMPORTRANGE(""https://docs.google.com/spreadsheets/d/1Yj_ptqi66GCucihVvJfMjLAmec39IyEx_6qawtMGysU/edit?usp=sharing"",""สบก!CV24"")"),0)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IFERROR(__xludf.DUMMYFUNCTION("IMPORTRANGE(""https://docs.google.com/spreadsheets/d/11923uPwbBZFjjGgGUA6NLw09EwE0CqkOc4q9oUmW1yo/edit?usp=sharing"",""นครสวรรค์!J205"")"),0)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IFERROR(__xludf.DUMMYFUNCTION("IMPORTRANGE(""https://docs.google.com/spreadsheets/d/11923uPwbBZFjjGgGUA6NLw09EwE0CqkOc4q9oUmW1yo/edit?usp=sharing"",""นครสวรรค์!J206"")"),0)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IFERROR(__xludf.DUMMYFUNCTION("IMPORTRANGE(""https://docs.google.com/spreadsheets/d/11923uPwbBZFjjGgGUA6NLw09EwE0CqkOc4q9oUmW1yo/edit?usp=sharing"",""นครสวรรค์!J207"")"),0)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IFERROR(__xludf.DUMMYFUNCTION("IMPORTRANGE(""https://docs.google.com/spreadsheets/d/11923uPwbBZFjjGgGUA6NLw09EwE0CqkOc4q9oUmW1yo/edit?usp=sharing"",""นครสวรรค์!J208"")"),0)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IFERROR(__xludf.DUMMYFUNCTION("IMPORTRANGE(""https://docs.google.com/spreadsheets/d/11923uPwbBZFjjGgGUA6NLw09EwE0CqkOc4q9oUmW1yo/edit?usp=sharing"",""นครสวรรค์!I209"")"),0)</f>
        <v>0</v>
      </c>
      <c r="J304" s="203">
        <f ca="1">IFERROR(__xludf.DUMMYFUNCTION("IMPORTRANGE(""https://docs.google.com/spreadsheets/d/11923uPwbBZFjjGgGUA6NLw09EwE0CqkOc4q9oUmW1yo/edit?usp=sharing"",""นครสวรรค์!J209"")"),0)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IFERROR(__xludf.DUMMYFUNCTION("IMPORTRANGE(""https://docs.google.com/spreadsheets/d/11923uPwbBZFjjGgGUA6NLw09EwE0CqkOc4q9oUmW1yo/edit?usp=sharing"",""นครสวรรค์!I211"")"),0)</f>
        <v>0</v>
      </c>
      <c r="J306" s="203">
        <f ca="1">IFERROR(__xludf.DUMMYFUNCTION("IMPORTRANGE(""https://docs.google.com/spreadsheets/d/11923uPwbBZFjjGgGUA6NLw09EwE0CqkOc4q9oUmW1yo/edit?usp=sharing"",""นครสวรรค์!J211"")"),0)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IFERROR(__xludf.DUMMYFUNCTION("IMPORTRANGE(""https://docs.google.com/spreadsheets/d/11923uPwbBZFjjGgGUA6NLw09EwE0CqkOc4q9oUmW1yo/edit?usp=sharing"",""นครสวรรค์!J212"")"),0)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IFERROR(__xludf.DUMMYFUNCTION("IMPORTRANGE(""https://docs.google.com/spreadsheets/d/11923uPwbBZFjjGgGUA6NLw09EwE0CqkOc4q9oUmW1yo/edit?usp=sharing"",""นครสวรรค์!J213"")"),0)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IFERROR(__xludf.DUMMYFUNCTION("IMPORTRANGE(""https://docs.google.com/spreadsheets/d/11923uPwbBZFjjGgGUA6NLw09EwE0CqkOc4q9oUmW1yo/edit?usp=sharing"",""นครสวรรค์!I214"")"),0)</f>
        <v>0</v>
      </c>
      <c r="J309" s="333">
        <f ca="1">IFERROR(__xludf.DUMMYFUNCTION("IMPORTRANGE(""https://docs.google.com/spreadsheets/d/11923uPwbBZFjjGgGUA6NLw09EwE0CqkOc4q9oUmW1yo/edit?usp=sharing"",""นครสวรรค์!J214"")"),0)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IFERROR(__xludf.DUMMYFUNCTION("IMPORTRANGE(""https://docs.google.com/spreadsheets/d/1Yj_ptqi66GCucihVvJfMjLAmec39IyEx_6qawtMGysU/edit?usp=sharing"",""สบก!DC24"")"),0)</f>
        <v>0</v>
      </c>
      <c r="N314" s="168">
        <f ca="1">IFERROR(__xludf.DUMMYFUNCTION("IMPORTRANGE(""https://docs.google.com/spreadsheets/d/1Yj_ptqi66GCucihVvJfMjLAmec39IyEx_6qawtMGysU/edit?usp=sharing"",""สบก!DD24"")"),0)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IFERROR(__xludf.DUMMYFUNCTION("IMPORTRANGE(""https://docs.google.com/spreadsheets/d/1Yj_ptqi66GCucihVvJfMjLAmec39IyEx_6qawtMGysU/edit?usp=sharing"",""สบก!CY24"")"),0)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IFERROR(__xludf.DUMMYFUNCTION("IMPORTRANGE(""https://docs.google.com/spreadsheets/d/1Yj_ptqi66GCucihVvJfMjLAmec39IyEx_6qawtMGysU/edit?usp=sharing"",""สบก!CZ24"")"),0)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IFERROR(__xludf.DUMMYFUNCTION("IMPORTRANGE(""https://docs.google.com/spreadsheets/d/1Yj_ptqi66GCucihVvJfMjLAmec39IyEx_6qawtMGysU/edit?usp=sharing"",""สบก!DA24"")"),0)</f>
        <v>0</v>
      </c>
      <c r="M318" s="50"/>
      <c r="N318" s="50">
        <f ca="1">IFERROR(__xludf.DUMMYFUNCTION("IMPORTRANGE(""https://docs.google.com/spreadsheets/d/1Yj_ptqi66GCucihVvJfMjLAmec39IyEx_6qawtMGysU/edit?usp=sharing"",""สบก!DE24"")"),0)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IFERROR(__xludf.DUMMYFUNCTION("IMPORTRANGE(""https://docs.google.com/spreadsheets/d/11923uPwbBZFjjGgGUA6NLw09EwE0CqkOc4q9oUmW1yo/edit?usp=sharing"",""นครสวรรค์!J220"")"),0)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IFERROR(__xludf.DUMMYFUNCTION("IMPORTRANGE(""https://docs.google.com/spreadsheets/d/11923uPwbBZFjjGgGUA6NLw09EwE0CqkOc4q9oUmW1yo/edit?usp=sharing"",""นครสวรรค์!J221"")"),0)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IFERROR(__xludf.DUMMYFUNCTION("IMPORTRANGE(""https://docs.google.com/spreadsheets/d/11923uPwbBZFjjGgGUA6NLw09EwE0CqkOc4q9oUmW1yo/edit?usp=sharing"",""นครสวรรค์!J222"")"),0)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IFERROR(__xludf.DUMMYFUNCTION("IMPORTRANGE(""https://docs.google.com/spreadsheets/d/11923uPwbBZFjjGgGUA6NLw09EwE0CqkOc4q9oUmW1yo/edit?usp=sharing"",""นครสวรรค์!J223"")"),0)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IFERROR(__xludf.DUMMYFUNCTION("IMPORTRANGE(""https://docs.google.com/spreadsheets/d/11923uPwbBZFjjGgGUA6NLw09EwE0CqkOc4q9oUmW1yo/edit?usp=sharing"",""นครสวรรค์!I224"")"),0)</f>
        <v>0</v>
      </c>
      <c r="J324" s="203">
        <f ca="1">IFERROR(__xludf.DUMMYFUNCTION("IMPORTRANGE(""https://docs.google.com/spreadsheets/d/11923uPwbBZFjjGgGUA6NLw09EwE0CqkOc4q9oUmW1yo/edit?usp=sharing"",""นครสวรรค์!J224"")"),0)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IFERROR(__xludf.DUMMYFUNCTION("IMPORTRANGE(""https://docs.google.com/spreadsheets/d/11923uPwbBZFjjGgGUA6NLw09EwE0CqkOc4q9oUmW1yo/edit?usp=sharing"",""นครสวรรค์!J225"")"),0)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IFERROR(__xludf.DUMMYFUNCTION("IMPORTRANGE(""https://docs.google.com/spreadsheets/d/11923uPwbBZFjjGgGUA6NLw09EwE0CqkOc4q9oUmW1yo/edit?usp=sharing"",""นครสวรรค์!J226"")"),0)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IFERROR(__xludf.DUMMYFUNCTION("IMPORTRANGE(""https://docs.google.com/spreadsheets/d/11923uPwbBZFjjGgGUA6NLw09EwE0CqkOc4q9oUmW1yo/edit?usp=sharing"",""นครสวรรค์!I228"")"),453)</f>
        <v>453</v>
      </c>
      <c r="J328" s="339">
        <f ca="1">IFERROR(__xludf.DUMMYFUNCTION("IMPORTRANGE(""https://docs.google.com/spreadsheets/d/11923uPwbBZFjjGgGUA6NLw09EwE0CqkOc4q9oUmW1yo/edit?usp=sharing"",""นครสวรรค์!J228"")"),26)</f>
        <v>26</v>
      </c>
      <c r="K328" s="317">
        <f ca="1">IF(I328&gt;0,J328*100/I328,0)</f>
        <v>5.739514348785872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1248250</v>
      </c>
      <c r="M329" s="152">
        <f t="shared" ca="1" si="98"/>
        <v>944580</v>
      </c>
      <c r="N329" s="152">
        <f t="shared" ca="1" si="98"/>
        <v>745714.7</v>
      </c>
      <c r="O329" s="151">
        <f t="shared" ref="O329:O331" ca="1" si="99">IF(L329&gt;0,N329*100/L329,0)</f>
        <v>59.740813138393754</v>
      </c>
      <c r="P329" s="151">
        <f t="shared" ref="P329:P331" ca="1" si="100">IF(M329&gt;0,N329*100/M329,0)</f>
        <v>78.946695886002246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1248250</v>
      </c>
      <c r="M331" s="88">
        <f t="shared" ca="1" si="102"/>
        <v>944580</v>
      </c>
      <c r="N331" s="88">
        <f t="shared" ca="1" si="102"/>
        <v>745714.7</v>
      </c>
      <c r="O331" s="156">
        <f t="shared" ca="1" si="99"/>
        <v>59.740813138393754</v>
      </c>
      <c r="P331" s="156">
        <f t="shared" ca="1" si="100"/>
        <v>78.946695886002246</v>
      </c>
    </row>
    <row r="332" spans="1:16" ht="21.75" customHeight="1" x14ac:dyDescent="0.45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1143250</v>
      </c>
      <c r="M333" s="167">
        <f ca="1">IFERROR(__xludf.DUMMYFUNCTION("IMPORTRANGE(""https://docs.google.com/spreadsheets/d/1Yj_ptqi66GCucihVvJfMjLAmec39IyEx_6qawtMGysU/edit?usp=sharing"",""สบก!DL24"")"),839580)</f>
        <v>839580</v>
      </c>
      <c r="N333" s="168">
        <f ca="1">IFERROR(__xludf.DUMMYFUNCTION("IMPORTRANGE(""https://docs.google.com/spreadsheets/d/1Yj_ptqi66GCucihVvJfMjLAmec39IyEx_6qawtMGysU/edit?usp=sharing"",""สบก!DM24"")"),640714.7)</f>
        <v>640714.69999999995</v>
      </c>
      <c r="O333" s="168">
        <f ca="1">IF(L333&gt;0,N333*100/L333,0)</f>
        <v>56.043271375464677</v>
      </c>
      <c r="P333" s="168">
        <f ca="1">IF(M333&gt;0,N333*100/M333,0)</f>
        <v>76.313716382000521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IFERROR(__xludf.DUMMYFUNCTION("IMPORTRANGE(""https://docs.google.com/spreadsheets/d/1Yj_ptqi66GCucihVvJfMjLAmec39IyEx_6qawtMGysU/edit?usp=sharing"",""สบก!DH24"")"),529200)</f>
        <v>529200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IFERROR(__xludf.DUMMYFUNCTION("IMPORTRANGE(""https://docs.google.com/spreadsheets/d/1Yj_ptqi66GCucihVvJfMjLAmec39IyEx_6qawtMGysU/edit?usp=sharing"",""สบก!DI24"")"),614050)</f>
        <v>614050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IFERROR(__xludf.DUMMYFUNCTION("IMPORTRANGE(""https://docs.google.com/spreadsheets/d/1Yj_ptqi66GCucihVvJfMjLAmec39IyEx_6qawtMGysU/edit?usp=sharing"",""สบก!DJ24"")"),105000)</f>
        <v>105000</v>
      </c>
      <c r="M337" s="50">
        <f ca="1">L337</f>
        <v>105000</v>
      </c>
      <c r="N337" s="50">
        <f ca="1">IFERROR(__xludf.DUMMYFUNCTION("IMPORTRANGE(""https://docs.google.com/spreadsheets/d/1Yj_ptqi66GCucihVvJfMjLAmec39IyEx_6qawtMGysU/edit?usp=sharing"",""สบก!DN24"")"),105000)</f>
        <v>105000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IFERROR(__xludf.DUMMYFUNCTION("IMPORTRANGE(""https://docs.google.com/spreadsheets/d/11923uPwbBZFjjGgGUA6NLw09EwE0CqkOc4q9oUmW1yo/edit?usp=sharing"",""นครสวรรค์!I234"")"),0)</f>
        <v>0</v>
      </c>
      <c r="J339" s="187">
        <f ca="1">IFERROR(__xludf.DUMMYFUNCTION("IMPORTRANGE(""https://docs.google.com/spreadsheets/d/11923uPwbBZFjjGgGUA6NLw09EwE0CqkOc4q9oUmW1yo/edit?usp=sharing"",""นครสวรรค์!J234"")"),447)</f>
        <v>447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IFERROR(__xludf.DUMMYFUNCTION("IMPORTRANGE(""https://docs.google.com/spreadsheets/d/11923uPwbBZFjjGgGUA6NLw09EwE0CqkOc4q9oUmW1yo/edit?usp=sharing"",""นครสวรรค์!I235"")"),4500)</f>
        <v>4500</v>
      </c>
      <c r="J340" s="187">
        <f ca="1">IFERROR(__xludf.DUMMYFUNCTION("IMPORTRANGE(""https://docs.google.com/spreadsheets/d/11923uPwbBZFjjGgGUA6NLw09EwE0CqkOc4q9oUmW1yo/edit?usp=sharing"",""นครสวรรค์!J235"")"),3338.77)</f>
        <v>3338.77</v>
      </c>
      <c r="K340" s="342">
        <f t="shared" ca="1" si="103"/>
        <v>74.194888888888883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IFERROR(__xludf.DUMMYFUNCTION("IMPORTRANGE(""https://docs.google.com/spreadsheets/d/11923uPwbBZFjjGgGUA6NLw09EwE0CqkOc4q9oUmW1yo/edit?usp=sharing"",""นครสวรรค์!I236"")"),453)</f>
        <v>453</v>
      </c>
      <c r="J341" s="187">
        <f ca="1">IFERROR(__xludf.DUMMYFUNCTION("IMPORTRANGE(""https://docs.google.com/spreadsheets/d/11923uPwbBZFjjGgGUA6NLw09EwE0CqkOc4q9oUmW1yo/edit?usp=sharing"",""นครสวรรค์!J236"")"),113)</f>
        <v>113</v>
      </c>
      <c r="K341" s="342">
        <f t="shared" ca="1" si="103"/>
        <v>24.944812362030905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IFERROR(__xludf.DUMMYFUNCTION("IMPORTRANGE(""https://docs.google.com/spreadsheets/d/11923uPwbBZFjjGgGUA6NLw09EwE0CqkOc4q9oUmW1yo/edit?usp=sharing"",""นครสวรรค์!I237"")"),0)</f>
        <v>0</v>
      </c>
      <c r="J342" s="187">
        <f ca="1">IFERROR(__xludf.DUMMYFUNCTION("IMPORTRANGE(""https://docs.google.com/spreadsheets/d/11923uPwbBZFjjGgGUA6NLw09EwE0CqkOc4q9oUmW1yo/edit?usp=sharing"",""นครสวรรค์!J237"")"),1208.9)</f>
        <v>1208.9000000000001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IFERROR(__xludf.DUMMYFUNCTION("IMPORTRANGE(""https://docs.google.com/spreadsheets/d/11923uPwbBZFjjGgGUA6NLw09EwE0CqkOc4q9oUmW1yo/edit?usp=sharing"",""นครสวรรค์!I238"")"),453)</f>
        <v>453</v>
      </c>
      <c r="J343" s="187">
        <f ca="1">IFERROR(__xludf.DUMMYFUNCTION("IMPORTRANGE(""https://docs.google.com/spreadsheets/d/11923uPwbBZFjjGgGUA6NLw09EwE0CqkOc4q9oUmW1yo/edit?usp=sharing"",""นครสวรรค์!J238"")"),0)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IFERROR(__xludf.DUMMYFUNCTION("IMPORTRANGE(""https://docs.google.com/spreadsheets/d/11923uPwbBZFjjGgGUA6NLw09EwE0CqkOc4q9oUmW1yo/edit?usp=sharing"",""นครสวรรค์!I239"")"),0)</f>
        <v>0</v>
      </c>
      <c r="J344" s="187">
        <f ca="1">IFERROR(__xludf.DUMMYFUNCTION("IMPORTRANGE(""https://docs.google.com/spreadsheets/d/11923uPwbBZFjjGgGUA6NLw09EwE0CqkOc4q9oUmW1yo/edit?usp=sharing"",""นครสวรรค์!J239"")"),0)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IFERROR(__xludf.DUMMYFUNCTION("IMPORTRANGE(""https://docs.google.com/spreadsheets/d/11923uPwbBZFjjGgGUA6NLw09EwE0CqkOc4q9oUmW1yo/edit?usp=sharing"",""นครสวรรค์!I240"")"),453)</f>
        <v>453</v>
      </c>
      <c r="J345" s="187">
        <f ca="1">IFERROR(__xludf.DUMMYFUNCTION("IMPORTRANGE(""https://docs.google.com/spreadsheets/d/11923uPwbBZFjjGgGUA6NLw09EwE0CqkOc4q9oUmW1yo/edit?usp=sharing"",""นครสวรรค์!J240"")"),26)</f>
        <v>26</v>
      </c>
      <c r="K345" s="342">
        <f t="shared" ca="1" si="103"/>
        <v>5.739514348785872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IFERROR(__xludf.DUMMYFUNCTION("IMPORTRANGE(""https://docs.google.com/spreadsheets/d/11923uPwbBZFjjGgGUA6NLw09EwE0CqkOc4q9oUmW1yo/edit?usp=sharing"",""นครสวรรค์!I241"")"),0)</f>
        <v>0</v>
      </c>
      <c r="J346" s="187">
        <f ca="1">IFERROR(__xludf.DUMMYFUNCTION("IMPORTRANGE(""https://docs.google.com/spreadsheets/d/11923uPwbBZFjjGgGUA6NLw09EwE0CqkOc4q9oUmW1yo/edit?usp=sharing"",""นครสวรรค์!J241"")"),485.88)</f>
        <v>485.88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IFERROR(__xludf.DUMMYFUNCTION("IMPORTRANGE(""https://docs.google.com/spreadsheets/d/11923uPwbBZFjjGgGUA6NLw09EwE0CqkOc4q9oUmW1yo/edit?usp=sharing"",""นครสวรรค์!L242"")"),2302113)</f>
        <v>2302113</v>
      </c>
      <c r="M347" s="357"/>
      <c r="N347" s="357">
        <f ca="1">IFERROR(__xludf.DUMMYFUNCTION("IMPORTRANGE(""https://docs.google.com/spreadsheets/d/11923uPwbBZFjjGgGUA6NLw09EwE0CqkOc4q9oUmW1yo/edit?usp=sharing"",""นครสวรรค์!M242"")"),882463)</f>
        <v>882463</v>
      </c>
      <c r="O347" s="357">
        <f ca="1">+IF(L347&gt;0,N347*100/L347,0)</f>
        <v>38.332740399797927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IFERROR(__xludf.DUMMYFUNCTION("IMPORTRANGE(""https://docs.google.com/spreadsheets/d/11923uPwbBZFjjGgGUA6NLw09EwE0CqkOc4q9oUmW1yo/edit?usp=sharing"",""นครสวรรค์!I244"")"),110)</f>
        <v>110</v>
      </c>
      <c r="J349" s="370">
        <f ca="1">IFERROR(__xludf.DUMMYFUNCTION("IMPORTRANGE(""https://docs.google.com/spreadsheets/d/11923uPwbBZFjjGgGUA6NLw09EwE0CqkOc4q9oUmW1yo/edit?usp=sharing"",""นครสวรรค์!J244"")"),40)</f>
        <v>40</v>
      </c>
      <c r="K349" s="371">
        <f t="shared" ref="K349:K350" ca="1" si="104">IF(I349&gt;0,J349*100/I349,0)</f>
        <v>36.363636363636367</v>
      </c>
      <c r="L349" s="372">
        <f ca="1">IFERROR(__xludf.DUMMYFUNCTION("IMPORTRANGE(""https://docs.google.com/spreadsheets/d/11923uPwbBZFjjGgGUA6NLw09EwE0CqkOc4q9oUmW1yo/edit?usp=sharing"",""นครสวรรค์!L244"")"),354030)</f>
        <v>354030</v>
      </c>
      <c r="M349" s="372"/>
      <c r="N349" s="372">
        <f ca="1">IFERROR(__xludf.DUMMYFUNCTION("IMPORTRANGE(""https://docs.google.com/spreadsheets/d/11923uPwbBZFjjGgGUA6NLw09EwE0CqkOc4q9oUmW1yo/edit?usp=sharing"",""นครสวรรค์!M244"")"),176183)</f>
        <v>176183</v>
      </c>
      <c r="O349" s="372">
        <f ca="1">+IF(L349&gt;0,N349*100/L349,0)</f>
        <v>49.764991667372819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IFERROR(__xludf.DUMMYFUNCTION("IMPORTRANGE(""https://docs.google.com/spreadsheets/d/11923uPwbBZFjjGgGUA6NLw09EwE0CqkOc4q9oUmW1yo/edit?usp=sharing"",""นครสวรรค์!I245"")"),55)</f>
        <v>55</v>
      </c>
      <c r="J350" s="370">
        <f ca="1">IFERROR(__xludf.DUMMYFUNCTION("IMPORTRANGE(""https://docs.google.com/spreadsheets/d/11923uPwbBZFjjGgGUA6NLw09EwE0CqkOc4q9oUmW1yo/edit?usp=sharing"",""นครสวรรค์!J245"")"),55)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IFERROR(__xludf.DUMMYFUNCTION("IMPORTRANGE(""https://docs.google.com/spreadsheets/d/11923uPwbBZFjjGgGUA6NLw09EwE0CqkOc4q9oUmW1yo/edit?usp=sharing"",""นครสวรรค์!L246"")"),0)</f>
        <v>0</v>
      </c>
      <c r="M351" s="164"/>
      <c r="N351" s="164">
        <f ca="1">IFERROR(__xludf.DUMMYFUNCTION("IMPORTRANGE(""https://docs.google.com/spreadsheets/d/11923uPwbBZFjjGgGUA6NLw09EwE0CqkOc4q9oUmW1yo/edit?usp=sharing"",""นครสวรรค์!M246"")"),0)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IFERROR(__xludf.DUMMYFUNCTION("IMPORTRANGE(""https://docs.google.com/spreadsheets/d/11923uPwbBZFjjGgGUA6NLw09EwE0CqkOc4q9oUmW1yo/edit?usp=sharing"",""นครสวรรค์!L247"")"),354030)</f>
        <v>354030</v>
      </c>
      <c r="M352" s="165"/>
      <c r="N352" s="164">
        <f ca="1">IFERROR(__xludf.DUMMYFUNCTION("IMPORTRANGE(""https://docs.google.com/spreadsheets/d/11923uPwbBZFjjGgGUA6NLw09EwE0CqkOc4q9oUmW1yo/edit?usp=sharing"",""นครสวรรค์!M247"")"),176183)</f>
        <v>176183</v>
      </c>
      <c r="O352" s="165">
        <f t="shared" ca="1" si="105"/>
        <v>49.764991667372819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IFERROR(__xludf.DUMMYFUNCTION("IMPORTRANGE(""https://docs.google.com/spreadsheets/d/11923uPwbBZFjjGgGUA6NLw09EwE0CqkOc4q9oUmW1yo/edit?usp=sharing"",""นครสวรรค์!L248"")"),0)</f>
        <v>0</v>
      </c>
      <c r="M353" s="168"/>
      <c r="N353" s="168">
        <f ca="1">IFERROR(__xludf.DUMMYFUNCTION("IMPORTRANGE(""https://docs.google.com/spreadsheets/d/11923uPwbBZFjjGgGUA6NLw09EwE0CqkOc4q9oUmW1yo/edit?usp=sharing"",""นครสวรรค์!M248"")"),0)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IFERROR(__xludf.DUMMYFUNCTION("IMPORTRANGE(""https://docs.google.com/spreadsheets/d/11923uPwbBZFjjGgGUA6NLw09EwE0CqkOc4q9oUmW1yo/edit?usp=sharing"",""นครสวรรค์!L249"")"),354030)</f>
        <v>354030</v>
      </c>
      <c r="M354" s="168"/>
      <c r="N354" s="167">
        <f ca="1">IFERROR(__xludf.DUMMYFUNCTION("IMPORTRANGE(""https://docs.google.com/spreadsheets/d/11923uPwbBZFjjGgGUA6NLw09EwE0CqkOc4q9oUmW1yo/edit?usp=sharing"",""นครสวรรค์!M249"")"),176183)</f>
        <v>176183</v>
      </c>
      <c r="O354" s="168">
        <f t="shared" ca="1" si="105"/>
        <v>49.764991667372819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IFERROR(__xludf.DUMMYFUNCTION("IMPORTRANGE(""https://docs.google.com/spreadsheets/d/11923uPwbBZFjjGgGUA6NLw09EwE0CqkOc4q9oUmW1yo/edit?usp=sharing"",""นครสวรรค์!M250"")"),67500)</f>
        <v>67500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IFERROR(__xludf.DUMMYFUNCTION("IMPORTRANGE(""https://docs.google.com/spreadsheets/d/11923uPwbBZFjjGgGUA6NLw09EwE0CqkOc4q9oUmW1yo/edit?usp=sharing"",""นครสวรรค์!M251"")"),35400)</f>
        <v>35400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IFERROR(__xludf.DUMMYFUNCTION("IMPORTRANGE(""https://docs.google.com/spreadsheets/d/11923uPwbBZFjjGgGUA6NLw09EwE0CqkOc4q9oUmW1yo/edit?usp=sharing"",""นครสวรรค์!M252"")"),63798)</f>
        <v>63798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IFERROR(__xludf.DUMMYFUNCTION("IMPORTRANGE(""https://docs.google.com/spreadsheets/d/11923uPwbBZFjjGgGUA6NLw09EwE0CqkOc4q9oUmW1yo/edit?usp=sharing"",""นครสวรรค์!M253"")"),9485)</f>
        <v>9485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IFERROR(__xludf.DUMMYFUNCTION("IMPORTRANGE(""https://docs.google.com/spreadsheets/d/11923uPwbBZFjjGgGUA6NLw09EwE0CqkOc4q9oUmW1yo/edit?usp=sharing"",""นครสวรรค์!J255"")"),0)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IFERROR(__xludf.DUMMYFUNCTION("IMPORTRANGE(""https://docs.google.com/spreadsheets/d/11923uPwbBZFjjGgGUA6NLw09EwE0CqkOc4q9oUmW1yo/edit?usp=sharing"",""นครสวรรค์!J256"")"),1)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IFERROR(__xludf.DUMMYFUNCTION("IMPORTRANGE(""https://docs.google.com/spreadsheets/d/11923uPwbBZFjjGgGUA6NLw09EwE0CqkOc4q9oUmW1yo/edit?usp=sharing"",""นครสวรรค์!J257"")"),1)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IFERROR(__xludf.DUMMYFUNCTION("IMPORTRANGE(""https://docs.google.com/spreadsheets/d/11923uPwbBZFjjGgGUA6NLw09EwE0CqkOc4q9oUmW1yo/edit?usp=sharing"",""นครสวรรค์!J258"")"),1)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IFERROR(__xludf.DUMMYFUNCTION("IMPORTRANGE(""https://docs.google.com/spreadsheets/d/11923uPwbBZFjjGgGUA6NLw09EwE0CqkOc4q9oUmW1yo/edit?usp=sharing"",""นครสวรรค์!J166"")"),0)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IFERROR(__xludf.DUMMYFUNCTION("IMPORTRANGE(""https://docs.google.com/spreadsheets/d/11923uPwbBZFjjGgGUA6NLw09EwE0CqkOc4q9oUmW1yo/edit?usp=sharing"",""นครสวรรค์!J166"")"),0)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IFERROR(__xludf.DUMMYFUNCTION("IMPORTRANGE(""https://docs.google.com/spreadsheets/d/11923uPwbBZFjjGgGUA6NLw09EwE0CqkOc4q9oUmW1yo/edit?usp=sharing"",""นครสวรรค์!J166"")"),0)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IFERROR(__xludf.DUMMYFUNCTION("IMPORTRANGE(""https://docs.google.com/spreadsheets/d/11923uPwbBZFjjGgGUA6NLw09EwE0CqkOc4q9oUmW1yo/edit?usp=sharing"",""นครสวรรค์!J166"")"),0)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IFERROR(__xludf.DUMMYFUNCTION("IMPORTRANGE(""https://docs.google.com/spreadsheets/d/11923uPwbBZFjjGgGUA6NLw09EwE0CqkOc4q9oUmW1yo/edit?usp=sharing"",""นครสวรรค์!I263"")"),55)</f>
        <v>55</v>
      </c>
      <c r="J368" s="187">
        <f ca="1">IFERROR(__xludf.DUMMYFUNCTION("IMPORTRANGE(""https://docs.google.com/spreadsheets/d/11923uPwbBZFjjGgGUA6NLw09EwE0CqkOc4q9oUmW1yo/edit?usp=sharing"",""นครสวรรค์!J263"")"),55)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IFERROR(__xludf.DUMMYFUNCTION("IMPORTRANGE(""https://docs.google.com/spreadsheets/d/11923uPwbBZFjjGgGUA6NLw09EwE0CqkOc4q9oUmW1yo/edit?usp=sharing"",""นครสวรรค์!I164"")"),0)</f>
        <v>0</v>
      </c>
      <c r="J369" s="203">
        <f ca="1">IFERROR(__xludf.DUMMYFUNCTION("IMPORTRANGE(""https://docs.google.com/spreadsheets/d/11923uPwbBZFjjGgGUA6NLw09EwE0CqkOc4q9oUmW1yo/edit?usp=sharing"",""นครสวรรค์!J164"")"),0)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IFERROR(__xludf.DUMMYFUNCTION("IMPORTRANGE(""https://docs.google.com/spreadsheets/d/11923uPwbBZFjjGgGUA6NLw09EwE0CqkOc4q9oUmW1yo/edit?usp=sharing"",""นครสวรรค์!I265"")"),55)</f>
        <v>55</v>
      </c>
      <c r="J370" s="203">
        <f ca="1">IFERROR(__xludf.DUMMYFUNCTION("IMPORTRANGE(""https://docs.google.com/spreadsheets/d/11923uPwbBZFjjGgGUA6NLw09EwE0CqkOc4q9oUmW1yo/edit?usp=sharing"",""นครสวรรค์!J265"")"),55)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IFERROR(__xludf.DUMMYFUNCTION("IMPORTRANGE(""https://docs.google.com/spreadsheets/d/11923uPwbBZFjjGgGUA6NLw09EwE0CqkOc4q9oUmW1yo/edit?usp=sharing"",""นครสวรรค์!I164"")"),0)</f>
        <v>0</v>
      </c>
      <c r="J371" s="188">
        <f ca="1">IFERROR(__xludf.DUMMYFUNCTION("IMPORTRANGE(""https://docs.google.com/spreadsheets/d/11923uPwbBZFjjGgGUA6NLw09EwE0CqkOc4q9oUmW1yo/edit?usp=sharing"",""นครสวรรค์!J164"")"),0)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IFERROR(__xludf.DUMMYFUNCTION("IMPORTRANGE(""https://docs.google.com/spreadsheets/d/11923uPwbBZFjjGgGUA6NLw09EwE0CqkOc4q9oUmW1yo/edit?usp=sharing"",""นครสวรรค์!I267"")"),55)</f>
        <v>55</v>
      </c>
      <c r="J372" s="188">
        <f ca="1">IFERROR(__xludf.DUMMYFUNCTION("IMPORTRANGE(""https://docs.google.com/spreadsheets/d/11923uPwbBZFjjGgGUA6NLw09EwE0CqkOc4q9oUmW1yo/edit?usp=sharing"",""นครสวรรค์!J267"")"),55)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IFERROR(__xludf.DUMMYFUNCTION("IMPORTRANGE(""https://docs.google.com/spreadsheets/d/11923uPwbBZFjjGgGUA6NLw09EwE0CqkOc4q9oUmW1yo/edit?usp=sharing"",""นครสวรรค์!I164"")"),0)</f>
        <v>0</v>
      </c>
      <c r="J373" s="203">
        <f ca="1">IFERROR(__xludf.DUMMYFUNCTION("IMPORTRANGE(""https://docs.google.com/spreadsheets/d/11923uPwbBZFjjGgGUA6NLw09EwE0CqkOc4q9oUmW1yo/edit?usp=sharing"",""นครสวรรค์!J164"")"),0)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IFERROR(__xludf.DUMMYFUNCTION("IMPORTRANGE(""https://docs.google.com/spreadsheets/d/11923uPwbBZFjjGgGUA6NLw09EwE0CqkOc4q9oUmW1yo/edit?usp=sharing"",""นครสวรรค์!I164"")"),0)</f>
        <v>0</v>
      </c>
      <c r="J374" s="187">
        <f ca="1">IFERROR(__xludf.DUMMYFUNCTION("IMPORTRANGE(""https://docs.google.com/spreadsheets/d/11923uPwbBZFjjGgGUA6NLw09EwE0CqkOc4q9oUmW1yo/edit?usp=sharing"",""นครสวรรค์!J164"")"),0)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IFERROR(__xludf.DUMMYFUNCTION("IMPORTRANGE(""https://docs.google.com/spreadsheets/d/11923uPwbBZFjjGgGUA6NLw09EwE0CqkOc4q9oUmW1yo/edit?usp=sharing"",""นครสวรรค์!I270"")"),110)</f>
        <v>110</v>
      </c>
      <c r="J375" s="187">
        <f ca="1">IFERROR(__xludf.DUMMYFUNCTION("IMPORTRANGE(""https://docs.google.com/spreadsheets/d/11923uPwbBZFjjGgGUA6NLw09EwE0CqkOc4q9oUmW1yo/edit?usp=sharing"",""นครสวรรค์!J270"")"),40)</f>
        <v>40</v>
      </c>
      <c r="K375" s="163">
        <f t="shared" ref="K375:K377" ca="1" si="107">IF(I375&gt;0,J375*100/I375,0)</f>
        <v>36.363636363636367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IFERROR(__xludf.DUMMYFUNCTION("IMPORTRANGE(""https://docs.google.com/spreadsheets/d/11923uPwbBZFjjGgGUA6NLw09EwE0CqkOc4q9oUmW1yo/edit?usp=sharing"",""นครสวรรค์!I271"")"),40)</f>
        <v>40</v>
      </c>
      <c r="J376" s="188">
        <f ca="1">IFERROR(__xludf.DUMMYFUNCTION("IMPORTRANGE(""https://docs.google.com/spreadsheets/d/11923uPwbBZFjjGgGUA6NLw09EwE0CqkOc4q9oUmW1yo/edit?usp=sharing"",""นครสวรรค์!J271"")"),40)</f>
        <v>40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IFERROR(__xludf.DUMMYFUNCTION("IMPORTRANGE(""https://docs.google.com/spreadsheets/d/11923uPwbBZFjjGgGUA6NLw09EwE0CqkOc4q9oUmW1yo/edit?usp=sharing"",""นครสวรรค์!I272"")"),70)</f>
        <v>70</v>
      </c>
      <c r="J377" s="203">
        <f ca="1">IFERROR(__xludf.DUMMYFUNCTION("IMPORTRANGE(""https://docs.google.com/spreadsheets/d/11923uPwbBZFjjGgGUA6NLw09EwE0CqkOc4q9oUmW1yo/edit?usp=sharing"",""นครสวรรค์!J272"")"),0)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IFERROR(__xludf.DUMMYFUNCTION("IMPORTRANGE(""https://docs.google.com/spreadsheets/d/11923uPwbBZFjjGgGUA6NLw09EwE0CqkOc4q9oUmW1yo/edit?usp=sharing"",""นครสวรรค์!J273"")"),0)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IFERROR(__xludf.DUMMYFUNCTION("IMPORTRANGE(""https://docs.google.com/spreadsheets/d/11923uPwbBZFjjGgGUA6NLw09EwE0CqkOc4q9oUmW1yo/edit?usp=sharing"",""นครสวรรค์!J274"")"),0)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IFERROR(__xludf.DUMMYFUNCTION("IMPORTRANGE(""https://docs.google.com/spreadsheets/d/11923uPwbBZFjjGgGUA6NLw09EwE0CqkOc4q9oUmW1yo/edit?usp=sharing"",""นครสวรรค์!I275"")"),1000)</f>
        <v>1000</v>
      </c>
      <c r="J380" s="370">
        <f ca="1">IFERROR(__xludf.DUMMYFUNCTION("IMPORTRANGE(""https://docs.google.com/spreadsheets/d/11923uPwbBZFjjGgGUA6NLw09EwE0CqkOc4q9oUmW1yo/edit?usp=sharing"",""นครสวรรค์!J275"")"),0)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IFERROR(__xludf.DUMMYFUNCTION("IMPORTRANGE(""https://docs.google.com/spreadsheets/d/11923uPwbBZFjjGgGUA6NLw09EwE0CqkOc4q9oUmW1yo/edit?usp=sharing"",""นครสวรรค์!L275"")"),1028520)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IFERROR(__xludf.DUMMYFUNCTION("IMPORTRANGE(""https://docs.google.com/spreadsheets/d/11923uPwbBZFjjGgGUA6NLw09EwE0CqkOc4q9oUmW1yo/edit?usp=sharing"",""นครสวรรค์!M275"")"),209001)</f>
        <v>209001</v>
      </c>
      <c r="O380" s="372">
        <f ca="1">+IF(L380&gt;0,N380*100/L380,0)</f>
        <v>20.320557694551393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IFERROR(__xludf.DUMMYFUNCTION("IMPORTRANGE(""https://docs.google.com/spreadsheets/d/11923uPwbBZFjjGgGUA6NLw09EwE0CqkOc4q9oUmW1yo/edit?usp=sharing"",""นครสวรรค์!I276"")"),100)</f>
        <v>100</v>
      </c>
      <c r="J381" s="370">
        <f ca="1">IFERROR(__xludf.DUMMYFUNCTION("IMPORTRANGE(""https://docs.google.com/spreadsheets/d/11923uPwbBZFjjGgGUA6NLw09EwE0CqkOc4q9oUmW1yo/edit?usp=sharing"",""นครสวรรค์!J276"")"),100)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IFERROR(__xludf.DUMMYFUNCTION("IMPORTRANGE(""https://docs.google.com/spreadsheets/d/11923uPwbBZFjjGgGUA6NLw09EwE0CqkOc4q9oUmW1yo/edit?usp=sharing"",""นครสวรรค์!L277"")"),0)</f>
        <v>0</v>
      </c>
      <c r="M382" s="164"/>
      <c r="N382" s="164">
        <f ca="1">IFERROR(__xludf.DUMMYFUNCTION("IMPORTRANGE(""https://docs.google.com/spreadsheets/d/11923uPwbBZFjjGgGUA6NLw09EwE0CqkOc4q9oUmW1yo/edit?usp=sharing"",""นครสวรรค์!M277"")"),0)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IFERROR(__xludf.DUMMYFUNCTION("IMPORTRANGE(""https://docs.google.com/spreadsheets/d/11923uPwbBZFjjGgGUA6NLw09EwE0CqkOc4q9oUmW1yo/edit?usp=sharing"",""นครสวรรค์!L278"")"),1028520)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IFERROR(__xludf.DUMMYFUNCTION("IMPORTRANGE(""https://docs.google.com/spreadsheets/d/11923uPwbBZFjjGgGUA6NLw09EwE0CqkOc4q9oUmW1yo/edit?usp=sharing"",""นครสวรรค์!M278"")"),209001)</f>
        <v>209001</v>
      </c>
      <c r="O383" s="165">
        <f t="shared" ca="1" si="109"/>
        <v>20.320557694551393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IFERROR(__xludf.DUMMYFUNCTION("IMPORTRANGE(""https://docs.google.com/spreadsheets/d/11923uPwbBZFjjGgGUA6NLw09EwE0CqkOc4q9oUmW1yo/edit?usp=sharing"",""นครสวรรค์!L279"")"),0)</f>
        <v>0</v>
      </c>
      <c r="M384" s="168"/>
      <c r="N384" s="168">
        <f ca="1">IFERROR(__xludf.DUMMYFUNCTION("IMPORTRANGE(""https://docs.google.com/spreadsheets/d/11923uPwbBZFjjGgGUA6NLw09EwE0CqkOc4q9oUmW1yo/edit?usp=sharing"",""นครสวรรค์!M279"")"),0)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IFERROR(__xludf.DUMMYFUNCTION("IMPORTRANGE(""https://docs.google.com/spreadsheets/d/11923uPwbBZFjjGgGUA6NLw09EwE0CqkOc4q9oUmW1yo/edit?usp=sharing"",""นครสวรรค์!L280"")"),1028520)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IFERROR(__xludf.DUMMYFUNCTION("IMPORTRANGE(""https://docs.google.com/spreadsheets/d/11923uPwbBZFjjGgGUA6NLw09EwE0CqkOc4q9oUmW1yo/edit?usp=sharing"",""นครสวรรค์!M280"")"),209001)</f>
        <v>209001</v>
      </c>
      <c r="O385" s="168">
        <f t="shared" ca="1" si="109"/>
        <v>20.320557694551393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IFERROR(__xludf.DUMMYFUNCTION("IMPORTRANGE(""https://docs.google.com/spreadsheets/d/11923uPwbBZFjjGgGUA6NLw09EwE0CqkOc4q9oUmW1yo/edit?usp=sharing"",""นครสวรรค์!M281"")"),140565)</f>
        <v>140565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IFERROR(__xludf.DUMMYFUNCTION("IMPORTRANGE(""https://docs.google.com/spreadsheets/d/11923uPwbBZFjjGgGUA6NLw09EwE0CqkOc4q9oUmW1yo/edit?usp=sharing"",""นครสวรรค์!M282"")"),0)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IFERROR(__xludf.DUMMYFUNCTION("IMPORTRANGE(""https://docs.google.com/spreadsheets/d/11923uPwbBZFjjGgGUA6NLw09EwE0CqkOc4q9oUmW1yo/edit?usp=sharing"",""นครสวรรค์!M283"")"),61596)</f>
        <v>61596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IFERROR(__xludf.DUMMYFUNCTION("IMPORTRANGE(""https://docs.google.com/spreadsheets/d/11923uPwbBZFjjGgGUA6NLw09EwE0CqkOc4q9oUmW1yo/edit?usp=sharing"",""นครสวรรค์!M284"")"),6840)</f>
        <v>6840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IFERROR(__xludf.DUMMYFUNCTION("IMPORTRANGE(""https://docs.google.com/spreadsheets/d/11923uPwbBZFjjGgGUA6NLw09EwE0CqkOc4q9oUmW1yo/edit?usp=sharing"",""นครสวรรค์!J286"")"),0)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IFERROR(__xludf.DUMMYFUNCTION("IMPORTRANGE(""https://docs.google.com/spreadsheets/d/11923uPwbBZFjjGgGUA6NLw09EwE0CqkOc4q9oUmW1yo/edit?usp=sharing"",""นครสวรรค์!J287"")"),1)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IFERROR(__xludf.DUMMYFUNCTION("IMPORTRANGE(""https://docs.google.com/spreadsheets/d/11923uPwbBZFjjGgGUA6NLw09EwE0CqkOc4q9oUmW1yo/edit?usp=sharing"",""นครสวรรค์!J288"")"),1)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IFERROR(__xludf.DUMMYFUNCTION("IMPORTRANGE(""https://docs.google.com/spreadsheets/d/11923uPwbBZFjjGgGUA6NLw09EwE0CqkOc4q9oUmW1yo/edit?usp=sharing"",""นครสวรรค์!J289"")"),1)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IFERROR(__xludf.DUMMYFUNCTION("IMPORTRANGE(""https://docs.google.com/spreadsheets/d/11923uPwbBZFjjGgGUA6NLw09EwE0CqkOc4q9oUmW1yo/edit?usp=sharing"",""นครสวรรค์!I291"")"),100)</f>
        <v>100</v>
      </c>
      <c r="J396" s="197">
        <f ca="1">IFERROR(__xludf.DUMMYFUNCTION("IMPORTRANGE(""https://docs.google.com/spreadsheets/d/11923uPwbBZFjjGgGUA6NLw09EwE0CqkOc4q9oUmW1yo/edit?usp=sharing"",""นครสวรรค์!J291"")"),100)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IFERROR(__xludf.DUMMYFUNCTION("IMPORTRANGE(""https://docs.google.com/spreadsheets/d/11923uPwbBZFjjGgGUA6NLw09EwE0CqkOc4q9oUmW1yo/edit?usp=sharing"",""นครสวรรค์!I292"")"),1000)</f>
        <v>1000</v>
      </c>
      <c r="J397" s="197">
        <f ca="1">IFERROR(__xludf.DUMMYFUNCTION("IMPORTRANGE(""https://docs.google.com/spreadsheets/d/11923uPwbBZFjjGgGUA6NLw09EwE0CqkOc4q9oUmW1yo/edit?usp=sharing"",""นครสวรรค์!J292"")"),0)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IFERROR(__xludf.DUMMYFUNCTION("IMPORTRANGE(""https://docs.google.com/spreadsheets/d/11923uPwbBZFjjGgGUA6NLw09EwE0CqkOc4q9oUmW1yo/edit?usp=sharing"",""นครสวรรค์!I293"")"),100)</f>
        <v>100</v>
      </c>
      <c r="J398" s="197">
        <f ca="1">IFERROR(__xludf.DUMMYFUNCTION("IMPORTRANGE(""https://docs.google.com/spreadsheets/d/11923uPwbBZFjjGgGUA6NLw09EwE0CqkOc4q9oUmW1yo/edit?usp=sharing"",""นครสวรรค์!J293"")"),0)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IFERROR(__xludf.DUMMYFUNCTION("IMPORTRANGE(""https://docs.google.com/spreadsheets/d/11923uPwbBZFjjGgGUA6NLw09EwE0CqkOc4q9oUmW1yo/edit?usp=sharing"",""นครสวรรค์!J294"")"),0)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IFERROR(__xludf.DUMMYFUNCTION("IMPORTRANGE(""https://docs.google.com/spreadsheets/d/11923uPwbBZFjjGgGUA6NLw09EwE0CqkOc4q9oUmW1yo/edit?usp=sharing"",""นครสวรรค์!J295"")"),0)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IFERROR(__xludf.DUMMYFUNCTION("IMPORTRANGE(""https://docs.google.com/spreadsheets/d/11923uPwbBZFjjGgGUA6NLw09EwE0CqkOc4q9oUmW1yo/edit?usp=sharing"",""นครสวรรค์!I296"")"),135)</f>
        <v>135</v>
      </c>
      <c r="J401" s="370">
        <f ca="1">IFERROR(__xludf.DUMMYFUNCTION("IMPORTRANGE(""https://docs.google.com/spreadsheets/d/11923uPwbBZFjjGgGUA6NLw09EwE0CqkOc4q9oUmW1yo/edit?usp=sharing"",""นครสวรรค์!J296"")"),141)</f>
        <v>141</v>
      </c>
      <c r="K401" s="371">
        <f t="shared" ref="K401:K402" ca="1" si="111">IF(I401&gt;0,J401*100/I401,0)</f>
        <v>104.44444444444444</v>
      </c>
      <c r="L401" s="372">
        <f ca="1">IFERROR(__xludf.DUMMYFUNCTION("IMPORTRANGE(""https://docs.google.com/spreadsheets/d/11923uPwbBZFjjGgGUA6NLw09EwE0CqkOc4q9oUmW1yo/edit?usp=sharing"",""นครสวรรค์!L296"")"),159950)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IFERROR(__xludf.DUMMYFUNCTION("IMPORTRANGE(""https://docs.google.com/spreadsheets/d/11923uPwbBZFjjGgGUA6NLw09EwE0CqkOc4q9oUmW1yo/edit?usp=sharing"",""นครสวรรค์!M296"")"),132250)</f>
        <v>132250</v>
      </c>
      <c r="O401" s="372">
        <f ca="1">+IF(L401&gt;0,N401*100/L401,0)</f>
        <v>82.682088152547678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IFERROR(__xludf.DUMMYFUNCTION("IMPORTRANGE(""https://docs.google.com/spreadsheets/d/11923uPwbBZFjjGgGUA6NLw09EwE0CqkOc4q9oUmW1yo/edit?usp=sharing"",""นครสวรรค์!I297"")"),45)</f>
        <v>45</v>
      </c>
      <c r="J402" s="370">
        <f ca="1">IFERROR(__xludf.DUMMYFUNCTION("IMPORTRANGE(""https://docs.google.com/spreadsheets/d/11923uPwbBZFjjGgGUA6NLw09EwE0CqkOc4q9oUmW1yo/edit?usp=sharing"",""นครสวรรค์!J297"")"),47)</f>
        <v>47</v>
      </c>
      <c r="K402" s="371">
        <f t="shared" ca="1" si="111"/>
        <v>104.44444444444444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IFERROR(__xludf.DUMMYFUNCTION("IMPORTRANGE(""https://docs.google.com/spreadsheets/d/11923uPwbBZFjjGgGUA6NLw09EwE0CqkOc4q9oUmW1yo/edit?usp=sharing"",""นครสวรรค์!L298"")"),0)</f>
        <v>0</v>
      </c>
      <c r="M403" s="164"/>
      <c r="N403" s="168">
        <f ca="1">IFERROR(__xludf.DUMMYFUNCTION("IMPORTRANGE(""https://docs.google.com/spreadsheets/d/11923uPwbBZFjjGgGUA6NLw09EwE0CqkOc4q9oUmW1yo/edit?usp=sharing"",""นครสวรรค์!M298"")"),0)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IFERROR(__xludf.DUMMYFUNCTION("IMPORTRANGE(""https://docs.google.com/spreadsheets/d/11923uPwbBZFjjGgGUA6NLw09EwE0CqkOc4q9oUmW1yo/edit?usp=sharing"",""นครสวรรค์!L299"")"),159950)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IFERROR(__xludf.DUMMYFUNCTION("IMPORTRANGE(""https://docs.google.com/spreadsheets/d/11923uPwbBZFjjGgGUA6NLw09EwE0CqkOc4q9oUmW1yo/edit?usp=sharing"",""นครสวรรค์!M299"")"),132250)</f>
        <v>132250</v>
      </c>
      <c r="O404" s="168">
        <f t="shared" ca="1" si="112"/>
        <v>82.682088152547678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IFERROR(__xludf.DUMMYFUNCTION("IMPORTRANGE(""https://docs.google.com/spreadsheets/d/11923uPwbBZFjjGgGUA6NLw09EwE0CqkOc4q9oUmW1yo/edit?usp=sharing"",""นครสวรรค์!L300"")"),0)</f>
        <v>0</v>
      </c>
      <c r="M405" s="168"/>
      <c r="N405" s="168">
        <f ca="1">IFERROR(__xludf.DUMMYFUNCTION("IMPORTRANGE(""https://docs.google.com/spreadsheets/d/11923uPwbBZFjjGgGUA6NLw09EwE0CqkOc4q9oUmW1yo/edit?usp=sharing"",""นครสวรรค์!M300"")"),0)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IFERROR(__xludf.DUMMYFUNCTION("IMPORTRANGE(""https://docs.google.com/spreadsheets/d/11923uPwbBZFjjGgGUA6NLw09EwE0CqkOc4q9oUmW1yo/edit?usp=sharing"",""นครสวรรค์!L301"")"),159950)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IFERROR(__xludf.DUMMYFUNCTION("IMPORTRANGE(""https://docs.google.com/spreadsheets/d/11923uPwbBZFjjGgGUA6NLw09EwE0CqkOc4q9oUmW1yo/edit?usp=sharing"",""นครสวรรค์!M301"")"),132250)</f>
        <v>132250</v>
      </c>
      <c r="O406" s="168">
        <f t="shared" ca="1" si="112"/>
        <v>82.682088152547678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IFERROR(__xludf.DUMMYFUNCTION("IMPORTRANGE(""https://docs.google.com/spreadsheets/d/11923uPwbBZFjjGgGUA6NLw09EwE0CqkOc4q9oUmW1yo/edit?usp=sharing"",""นครสวรรค์!M302"")"),97550)</f>
        <v>97550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IFERROR(__xludf.DUMMYFUNCTION("IMPORTRANGE(""https://docs.google.com/spreadsheets/d/11923uPwbBZFjjGgGUA6NLw09EwE0CqkOc4q9oUmW1yo/edit?usp=sharing"",""นครสวรรค์!M303"")"),32500)</f>
        <v>32500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IFERROR(__xludf.DUMMYFUNCTION("IMPORTRANGE(""https://docs.google.com/spreadsheets/d/11923uPwbBZFjjGgGUA6NLw09EwE0CqkOc4q9oUmW1yo/edit?usp=sharing"",""นครสวรรค์!M304"")"),0)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IFERROR(__xludf.DUMMYFUNCTION("IMPORTRANGE(""https://docs.google.com/spreadsheets/d/11923uPwbBZFjjGgGUA6NLw09EwE0CqkOc4q9oUmW1yo/edit?usp=sharing"",""นครสวรรค์!M305"")"),2200)</f>
        <v>2200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IFERROR(__xludf.DUMMYFUNCTION("IMPORTRANGE(""https://docs.google.com/spreadsheets/d/11923uPwbBZFjjGgGUA6NLw09EwE0CqkOc4q9oUmW1yo/edit?usp=sharing"",""นครสวรรค์!J307"")"),0)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IFERROR(__xludf.DUMMYFUNCTION("IMPORTRANGE(""https://docs.google.com/spreadsheets/d/11923uPwbBZFjjGgGUA6NLw09EwE0CqkOc4q9oUmW1yo/edit?usp=sharing"",""นครสวรรค์!J308"")"),1)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IFERROR(__xludf.DUMMYFUNCTION("IMPORTRANGE(""https://docs.google.com/spreadsheets/d/11923uPwbBZFjjGgGUA6NLw09EwE0CqkOc4q9oUmW1yo/edit?usp=sharing"",""นครสวรรค์!J309"")"),1)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IFERROR(__xludf.DUMMYFUNCTION("IMPORTRANGE(""https://docs.google.com/spreadsheets/d/11923uPwbBZFjjGgGUA6NLw09EwE0CqkOc4q9oUmW1yo/edit?usp=sharing"",""นครสวรรค์!J310"")"),0)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IFERROR(__xludf.DUMMYFUNCTION("IMPORTRANGE(""https://docs.google.com/spreadsheets/d/11923uPwbBZFjjGgGUA6NLw09EwE0CqkOc4q9oUmW1yo/edit?usp=sharing"",""นครสวรรค์!I311"")"),45)</f>
        <v>45</v>
      </c>
      <c r="J416" s="200">
        <f ca="1">IFERROR(__xludf.DUMMYFUNCTION("IMPORTRANGE(""https://docs.google.com/spreadsheets/d/11923uPwbBZFjjGgGUA6NLw09EwE0CqkOc4q9oUmW1yo/edit?usp=sharing"",""นครสวรรค์!J311"")"),47)</f>
        <v>47</v>
      </c>
      <c r="K416" s="201">
        <f t="shared" ref="K416:K432" ca="1" si="113">IF(I416&gt;0,J416*100/I416,0)</f>
        <v>104.44444444444444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IFERROR(__xludf.DUMMYFUNCTION("IMPORTRANGE(""https://docs.google.com/spreadsheets/d/11923uPwbBZFjjGgGUA6NLw09EwE0CqkOc4q9oUmW1yo/edit?usp=sharing"",""นครสวรรค์!I312"")"),10)</f>
        <v>10</v>
      </c>
      <c r="J417" s="391">
        <f ca="1">IFERROR(__xludf.DUMMYFUNCTION("IMPORTRANGE(""https://docs.google.com/spreadsheets/d/11923uPwbBZFjjGgGUA6NLw09EwE0CqkOc4q9oUmW1yo/edit?usp=sharing"",""นครสวรรค์!J312"")"),10)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IFERROR(__xludf.DUMMYFUNCTION("IMPORTRANGE(""https://docs.google.com/spreadsheets/d/11923uPwbBZFjjGgGUA6NLw09EwE0CqkOc4q9oUmW1yo/edit?usp=sharing"",""นครสวรรค์!I313"")"),30)</f>
        <v>30</v>
      </c>
      <c r="J418" s="392">
        <f ca="1">IFERROR(__xludf.DUMMYFUNCTION("IMPORTRANGE(""https://docs.google.com/spreadsheets/d/11923uPwbBZFjjGgGUA6NLw09EwE0CqkOc4q9oUmW1yo/edit?usp=sharing"",""นครสวรรค์!J313"")"),30)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IFERROR(__xludf.DUMMYFUNCTION("IMPORTRANGE(""https://docs.google.com/spreadsheets/d/11923uPwbBZFjjGgGUA6NLw09EwE0CqkOc4q9oUmW1yo/edit?usp=sharing"",""นครสวรรค์!I314"")"),10)</f>
        <v>10</v>
      </c>
      <c r="J419" s="393">
        <f ca="1">IFERROR(__xludf.DUMMYFUNCTION("IMPORTRANGE(""https://docs.google.com/spreadsheets/d/11923uPwbBZFjjGgGUA6NLw09EwE0CqkOc4q9oUmW1yo/edit?usp=sharing"",""นครสวรรค์!J314"")"),10)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IFERROR(__xludf.DUMMYFUNCTION("IMPORTRANGE(""https://docs.google.com/spreadsheets/d/11923uPwbBZFjjGgGUA6NLw09EwE0CqkOc4q9oUmW1yo/edit?usp=sharing"",""นครสวรรค์!I315"")"),10)</f>
        <v>10</v>
      </c>
      <c r="J420" s="393">
        <f ca="1">IFERROR(__xludf.DUMMYFUNCTION("IMPORTRANGE(""https://docs.google.com/spreadsheets/d/11923uPwbBZFjjGgGUA6NLw09EwE0CqkOc4q9oUmW1yo/edit?usp=sharing"",""นครสวรรค์!J315"")"),10)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IFERROR(__xludf.DUMMYFUNCTION("IMPORTRANGE(""https://docs.google.com/spreadsheets/d/11923uPwbBZFjjGgGUA6NLw09EwE0CqkOc4q9oUmW1yo/edit?usp=sharing"",""นครสวรรค์!I316"")"),25)</f>
        <v>25</v>
      </c>
      <c r="J421" s="391">
        <f ca="1">IFERROR(__xludf.DUMMYFUNCTION("IMPORTRANGE(""https://docs.google.com/spreadsheets/d/11923uPwbBZFjjGgGUA6NLw09EwE0CqkOc4q9oUmW1yo/edit?usp=sharing"",""นครสวรรค์!J316"")"),25)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IFERROR(__xludf.DUMMYFUNCTION("IMPORTRANGE(""https://docs.google.com/spreadsheets/d/11923uPwbBZFjjGgGUA6NLw09EwE0CqkOc4q9oUmW1yo/edit?usp=sharing"",""นครสวรรค์!I317"")"),75)</f>
        <v>75</v>
      </c>
      <c r="J422" s="392">
        <f ca="1">IFERROR(__xludf.DUMMYFUNCTION("IMPORTRANGE(""https://docs.google.com/spreadsheets/d/11923uPwbBZFjjGgGUA6NLw09EwE0CqkOc4q9oUmW1yo/edit?usp=sharing"",""นครสวรรค์!J317"")"),75)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IFERROR(__xludf.DUMMYFUNCTION("IMPORTRANGE(""https://docs.google.com/spreadsheets/d/11923uPwbBZFjjGgGUA6NLw09EwE0CqkOc4q9oUmW1yo/edit?usp=sharing"",""นครสวรรค์!I318"")"),25)</f>
        <v>25</v>
      </c>
      <c r="J423" s="393">
        <f ca="1">IFERROR(__xludf.DUMMYFUNCTION("IMPORTRANGE(""https://docs.google.com/spreadsheets/d/11923uPwbBZFjjGgGUA6NLw09EwE0CqkOc4q9oUmW1yo/edit?usp=sharing"",""นครสวรรค์!J318"")"),25)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IFERROR(__xludf.DUMMYFUNCTION("IMPORTRANGE(""https://docs.google.com/spreadsheets/d/11923uPwbBZFjjGgGUA6NLw09EwE0CqkOc4q9oUmW1yo/edit?usp=sharing"",""นครสวรรค์!I319"")"),25)</f>
        <v>25</v>
      </c>
      <c r="J424" s="393">
        <f ca="1">IFERROR(__xludf.DUMMYFUNCTION("IMPORTRANGE(""https://docs.google.com/spreadsheets/d/11923uPwbBZFjjGgGUA6NLw09EwE0CqkOc4q9oUmW1yo/edit?usp=sharing"",""นครสวรรค์!J319"")"),25)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IFERROR(__xludf.DUMMYFUNCTION("IMPORTRANGE(""https://docs.google.com/spreadsheets/d/11923uPwbBZFjjGgGUA6NLw09EwE0CqkOc4q9oUmW1yo/edit?usp=sharing"",""นครสวรรค์!I320"")"),25)</f>
        <v>25</v>
      </c>
      <c r="J425" s="393">
        <f ca="1">IFERROR(__xludf.DUMMYFUNCTION("IMPORTRANGE(""https://docs.google.com/spreadsheets/d/11923uPwbBZFjjGgGUA6NLw09EwE0CqkOc4q9oUmW1yo/edit?usp=sharing"",""นครสวรรค์!J320"")"),25)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IFERROR(__xludf.DUMMYFUNCTION("IMPORTRANGE(""https://docs.google.com/spreadsheets/d/11923uPwbBZFjjGgGUA6NLw09EwE0CqkOc4q9oUmW1yo/edit?usp=sharing"",""นครสวรรค์!I321"")"),10)</f>
        <v>10</v>
      </c>
      <c r="J426" s="391">
        <f ca="1">IFERROR(__xludf.DUMMYFUNCTION("IMPORTRANGE(""https://docs.google.com/spreadsheets/d/11923uPwbBZFjjGgGUA6NLw09EwE0CqkOc4q9oUmW1yo/edit?usp=sharing"",""นครสวรรค์!J321"")"),12)</f>
        <v>12</v>
      </c>
      <c r="K426" s="201">
        <f t="shared" ca="1" si="113"/>
        <v>120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IFERROR(__xludf.DUMMYFUNCTION("IMPORTRANGE(""https://docs.google.com/spreadsheets/d/11923uPwbBZFjjGgGUA6NLw09EwE0CqkOc4q9oUmW1yo/edit?usp=sharing"",""นครสวรรค์!I322"")"),30)</f>
        <v>30</v>
      </c>
      <c r="J427" s="392">
        <f ca="1">IFERROR(__xludf.DUMMYFUNCTION("IMPORTRANGE(""https://docs.google.com/spreadsheets/d/11923uPwbBZFjjGgGUA6NLw09EwE0CqkOc4q9oUmW1yo/edit?usp=sharing"",""นครสวรรค์!J322"")"),36)</f>
        <v>36</v>
      </c>
      <c r="K427" s="201">
        <f t="shared" ca="1" si="113"/>
        <v>120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IFERROR(__xludf.DUMMYFUNCTION("IMPORTRANGE(""https://docs.google.com/spreadsheets/d/11923uPwbBZFjjGgGUA6NLw09EwE0CqkOc4q9oUmW1yo/edit?usp=sharing"",""นครสวรรค์!I323"")"),10)</f>
        <v>10</v>
      </c>
      <c r="J428" s="393">
        <f ca="1">IFERROR(__xludf.DUMMYFUNCTION("IMPORTRANGE(""https://docs.google.com/spreadsheets/d/11923uPwbBZFjjGgGUA6NLw09EwE0CqkOc4q9oUmW1yo/edit?usp=sharing"",""นครสวรรค์!J323"")"),12)</f>
        <v>12</v>
      </c>
      <c r="K428" s="163">
        <f t="shared" ca="1" si="113"/>
        <v>120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IFERROR(__xludf.DUMMYFUNCTION("IMPORTRANGE(""https://docs.google.com/spreadsheets/d/11923uPwbBZFjjGgGUA6NLw09EwE0CqkOc4q9oUmW1yo/edit?usp=sharing"",""นครสวรรค์!I324"")"),10)</f>
        <v>10</v>
      </c>
      <c r="J429" s="393">
        <f ca="1">IFERROR(__xludf.DUMMYFUNCTION("IMPORTRANGE(""https://docs.google.com/spreadsheets/d/11923uPwbBZFjjGgGUA6NLw09EwE0CqkOc4q9oUmW1yo/edit?usp=sharing"",""นครสวรรค์!J324"")"),12)</f>
        <v>12</v>
      </c>
      <c r="K429" s="163">
        <f t="shared" ca="1" si="113"/>
        <v>120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IFERROR(__xludf.DUMMYFUNCTION("IMPORTRANGE(""https://docs.google.com/spreadsheets/d/11923uPwbBZFjjGgGUA6NLw09EwE0CqkOc4q9oUmW1yo/edit?usp=sharing"",""นครสวรรค์!I325"")"),35)</f>
        <v>35</v>
      </c>
      <c r="J430" s="391">
        <f ca="1">IFERROR(__xludf.DUMMYFUNCTION("IMPORTRANGE(""https://docs.google.com/spreadsheets/d/11923uPwbBZFjjGgGUA6NLw09EwE0CqkOc4q9oUmW1yo/edit?usp=sharing"",""นครสวรรค์!J325"")"),35)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IFERROR(__xludf.DUMMYFUNCTION("IMPORTRANGE(""https://docs.google.com/spreadsheets/d/11923uPwbBZFjjGgGUA6NLw09EwE0CqkOc4q9oUmW1yo/edit?usp=sharing"",""นครสวรรค์!I326"")"),10)</f>
        <v>10</v>
      </c>
      <c r="J431" s="393">
        <f ca="1">IFERROR(__xludf.DUMMYFUNCTION("IMPORTRANGE(""https://docs.google.com/spreadsheets/d/11923uPwbBZFjjGgGUA6NLw09EwE0CqkOc4q9oUmW1yo/edit?usp=sharing"",""นครสวรรค์!J326"")"),10)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IFERROR(__xludf.DUMMYFUNCTION("IMPORTRANGE(""https://docs.google.com/spreadsheets/d/11923uPwbBZFjjGgGUA6NLw09EwE0CqkOc4q9oUmW1yo/edit?usp=sharing"",""นครสวรรค์!I327"")"),25)</f>
        <v>25</v>
      </c>
      <c r="J432" s="393">
        <f ca="1">IFERROR(__xludf.DUMMYFUNCTION("IMPORTRANGE(""https://docs.google.com/spreadsheets/d/11923uPwbBZFjjGgGUA6NLw09EwE0CqkOc4q9oUmW1yo/edit?usp=sharing"",""นครสวรรค์!J327"")"),25)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IFERROR(__xludf.DUMMYFUNCTION("IMPORTRANGE(""https://docs.google.com/spreadsheets/d/11923uPwbBZFjjGgGUA6NLw09EwE0CqkOc4q9oUmW1yo/edit?usp=sharing"",""นครสวรรค์!J328"")"),0)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IFERROR(__xludf.DUMMYFUNCTION("IMPORTRANGE(""https://docs.google.com/spreadsheets/d/11923uPwbBZFjjGgGUA6NLw09EwE0CqkOc4q9oUmW1yo/edit?usp=sharing"",""นครสวรรค์!J329"")"),0)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IFERROR(__xludf.DUMMYFUNCTION("IMPORTRANGE(""https://docs.google.com/spreadsheets/d/11923uPwbBZFjjGgGUA6NLw09EwE0CqkOc4q9oUmW1yo/edit?usp=sharing"",""นครสวรรค์!I330"")"),15)</f>
        <v>15</v>
      </c>
      <c r="J435" s="409">
        <f ca="1">IFERROR(__xludf.DUMMYFUNCTION("IMPORTRANGE(""https://docs.google.com/spreadsheets/d/11923uPwbBZFjjGgGUA6NLw09EwE0CqkOc4q9oUmW1yo/edit?usp=sharing"",""นครสวรรค์!J330"")"),15)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IFERROR(__xludf.DUMMYFUNCTION("IMPORTRANGE(""https://docs.google.com/spreadsheets/d/11923uPwbBZFjjGgGUA6NLw09EwE0CqkOc4q9oUmW1yo/edit?usp=sharing"",""นครสวรรค์!L330"")"),106000)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IFERROR(__xludf.DUMMYFUNCTION("IMPORTRANGE(""https://docs.google.com/spreadsheets/d/11923uPwbBZFjjGgGUA6NLw09EwE0CqkOc4q9oUmW1yo/edit?usp=sharing"",""นครสวรรค์!M330"")"),70592)</f>
        <v>70592</v>
      </c>
      <c r="O435" s="411">
        <f t="shared" ref="O435:O439" ca="1" si="114">+IF(L435&gt;0,N435*100/L435,0)</f>
        <v>66.596226415094335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IFERROR(__xludf.DUMMYFUNCTION("IMPORTRANGE(""https://docs.google.com/spreadsheets/d/11923uPwbBZFjjGgGUA6NLw09EwE0CqkOc4q9oUmW1yo/edit?usp=sharing"",""นครสวรรค์!L331"")"),0)</f>
        <v>0</v>
      </c>
      <c r="M436" s="164"/>
      <c r="N436" s="168">
        <f ca="1">IFERROR(__xludf.DUMMYFUNCTION("IMPORTRANGE(""https://docs.google.com/spreadsheets/d/11923uPwbBZFjjGgGUA6NLw09EwE0CqkOc4q9oUmW1yo/edit?usp=sharing"",""นครสวรรค์!M331"")"),0)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IFERROR(__xludf.DUMMYFUNCTION("IMPORTRANGE(""https://docs.google.com/spreadsheets/d/11923uPwbBZFjjGgGUA6NLw09EwE0CqkOc4q9oUmW1yo/edit?usp=sharing"",""นครสวรรค์!L332"")"),106000)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IFERROR(__xludf.DUMMYFUNCTION("IMPORTRANGE(""https://docs.google.com/spreadsheets/d/11923uPwbBZFjjGgGUA6NLw09EwE0CqkOc4q9oUmW1yo/edit?usp=sharing"",""นครสวรรค์!M332"")"),70592)</f>
        <v>70592</v>
      </c>
      <c r="O437" s="168">
        <f t="shared" ca="1" si="114"/>
        <v>66.596226415094335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IFERROR(__xludf.DUMMYFUNCTION("IMPORTRANGE(""https://docs.google.com/spreadsheets/d/11923uPwbBZFjjGgGUA6NLw09EwE0CqkOc4q9oUmW1yo/edit?usp=sharing"",""นครสวรรค์!L333"")"),0)</f>
        <v>0</v>
      </c>
      <c r="M438" s="168"/>
      <c r="N438" s="168">
        <f ca="1">IFERROR(__xludf.DUMMYFUNCTION("IMPORTRANGE(""https://docs.google.com/spreadsheets/d/11923uPwbBZFjjGgGUA6NLw09EwE0CqkOc4q9oUmW1yo/edit?usp=sharing"",""นครสวรรค์!M333"")"),0)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IFERROR(__xludf.DUMMYFUNCTION("IMPORTRANGE(""https://docs.google.com/spreadsheets/d/11923uPwbBZFjjGgGUA6NLw09EwE0CqkOc4q9oUmW1yo/edit?usp=sharing"",""นครสวรรค์!L334"")"),106000)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IFERROR(__xludf.DUMMYFUNCTION("IMPORTRANGE(""https://docs.google.com/spreadsheets/d/11923uPwbBZFjjGgGUA6NLw09EwE0CqkOc4q9oUmW1yo/edit?usp=sharing"",""นครสวรรค์!M334"")"),70592)</f>
        <v>70592</v>
      </c>
      <c r="O439" s="168">
        <f t="shared" ca="1" si="114"/>
        <v>66.596226415094335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IFERROR(__xludf.DUMMYFUNCTION("IMPORTRANGE(""https://docs.google.com/spreadsheets/d/11923uPwbBZFjjGgGUA6NLw09EwE0CqkOc4q9oUmW1yo/edit?usp=sharing"",""นครสวรรค์!M335"")"),27122)</f>
        <v>27122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IFERROR(__xludf.DUMMYFUNCTION("IMPORTRANGE(""https://docs.google.com/spreadsheets/d/11923uPwbBZFjjGgGUA6NLw09EwE0CqkOc4q9oUmW1yo/edit?usp=sharing"",""นครสวรรค์!M336"")"),0)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IFERROR(__xludf.DUMMYFUNCTION("IMPORTRANGE(""https://docs.google.com/spreadsheets/d/11923uPwbBZFjjGgGUA6NLw09EwE0CqkOc4q9oUmW1yo/edit?usp=sharing"",""นครสวรรค์!M337"")"),0)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IFERROR(__xludf.DUMMYFUNCTION("IMPORTRANGE(""https://docs.google.com/spreadsheets/d/11923uPwbBZFjjGgGUA6NLw09EwE0CqkOc4q9oUmW1yo/edit?usp=sharing"",""นครสวรรค์!M338"")"),43470)</f>
        <v>43470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IFERROR(__xludf.DUMMYFUNCTION("IMPORTRANGE(""https://docs.google.com/spreadsheets/d/11923uPwbBZFjjGgGUA6NLw09EwE0CqkOc4q9oUmW1yo/edit?usp=sharing"",""นครสวรรค์!J340"")"),0)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IFERROR(__xludf.DUMMYFUNCTION("IMPORTRANGE(""https://docs.google.com/spreadsheets/d/11923uPwbBZFjjGgGUA6NLw09EwE0CqkOc4q9oUmW1yo/edit?usp=sharing"",""นครสวรรค์!J341"")"),1)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IFERROR(__xludf.DUMMYFUNCTION("IMPORTRANGE(""https://docs.google.com/spreadsheets/d/11923uPwbBZFjjGgGUA6NLw09EwE0CqkOc4q9oUmW1yo/edit?usp=sharing"",""นครสวรรค์!J342"")"),1)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IFERROR(__xludf.DUMMYFUNCTION("IMPORTRANGE(""https://docs.google.com/spreadsheets/d/11923uPwbBZFjjGgGUA6NLw09EwE0CqkOc4q9oUmW1yo/edit?usp=sharing"",""นครสวรรค์!J343"")"),1)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IFERROR(__xludf.DUMMYFUNCTION("IMPORTRANGE(""https://docs.google.com/spreadsheets/d/11923uPwbBZFjjGgGUA6NLw09EwE0CqkOc4q9oUmW1yo/edit?usp=sharing"",""นครสวรรค์!I344"")"),15)</f>
        <v>15</v>
      </c>
      <c r="J449" s="200">
        <f ca="1">IFERROR(__xludf.DUMMYFUNCTION("IMPORTRANGE(""https://docs.google.com/spreadsheets/d/11923uPwbBZFjjGgGUA6NLw09EwE0CqkOc4q9oUmW1yo/edit?usp=sharing"",""นครสวรรค์!J344"")"),15)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IFERROR(__xludf.DUMMYFUNCTION("IMPORTRANGE(""https://docs.google.com/spreadsheets/d/11923uPwbBZFjjGgGUA6NLw09EwE0CqkOc4q9oUmW1yo/edit?usp=sharing"",""นครสวรรค์!I345"")"),15)</f>
        <v>15</v>
      </c>
      <c r="J450" s="188">
        <f ca="1">IFERROR(__xludf.DUMMYFUNCTION("IMPORTRANGE(""https://docs.google.com/spreadsheets/d/11923uPwbBZFjjGgGUA6NLw09EwE0CqkOc4q9oUmW1yo/edit?usp=sharing"",""นครสวรรค์!J345"")"),15)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IFERROR(__xludf.DUMMYFUNCTION("IMPORTRANGE(""https://docs.google.com/spreadsheets/d/11923uPwbBZFjjGgGUA6NLw09EwE0CqkOc4q9oUmW1yo/edit?usp=sharing"",""นครสวรรค์!I346"")"),0)</f>
        <v>0</v>
      </c>
      <c r="J451" s="187">
        <f ca="1">IFERROR(__xludf.DUMMYFUNCTION("IMPORTRANGE(""https://docs.google.com/spreadsheets/d/11923uPwbBZFjjGgGUA6NLw09EwE0CqkOc4q9oUmW1yo/edit?usp=sharing"",""นครสวรรค์!J346"")"),0)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IFERROR(__xludf.DUMMYFUNCTION("IMPORTRANGE(""https://docs.google.com/spreadsheets/d/11923uPwbBZFjjGgGUA6NLw09EwE0CqkOc4q9oUmW1yo/edit?usp=sharing"",""นครสวรรค์!I347"")"),0)</f>
        <v>0</v>
      </c>
      <c r="J452" s="187">
        <f ca="1">IFERROR(__xludf.DUMMYFUNCTION("IMPORTRANGE(""https://docs.google.com/spreadsheets/d/11923uPwbBZFjjGgGUA6NLw09EwE0CqkOc4q9oUmW1yo/edit?usp=sharing"",""นครสวรรค์!J347"")"),0)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IFERROR(__xludf.DUMMYFUNCTION("IMPORTRANGE(""https://docs.google.com/spreadsheets/d/11923uPwbBZFjjGgGUA6NLw09EwE0CqkOc4q9oUmW1yo/edit?usp=sharing"",""นครสวรรค์!J348"")"),0)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IFERROR(__xludf.DUMMYFUNCTION("IMPORTRANGE(""https://docs.google.com/spreadsheets/d/11923uPwbBZFjjGgGUA6NLw09EwE0CqkOc4q9oUmW1yo/edit?usp=sharing"",""นครสวรรค์!J349"")"),0)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IFERROR(__xludf.DUMMYFUNCTION("IMPORTRANGE(""https://docs.google.com/spreadsheets/d/11923uPwbBZFjjGgGUA6NLw09EwE0CqkOc4q9oUmW1yo/edit?usp=sharing"",""นครสวรรค์!I350"")"),45976)</f>
        <v>45976</v>
      </c>
      <c r="J455" s="370">
        <f ca="1">IFERROR(__xludf.DUMMYFUNCTION("IMPORTRANGE(""https://docs.google.com/spreadsheets/d/11923uPwbBZFjjGgGUA6NLw09EwE0CqkOc4q9oUmW1yo/edit?usp=sharing"",""นครสวรรค์!J350"")"),45977)</f>
        <v>45977</v>
      </c>
      <c r="K455" s="371">
        <f ca="1">IF(I455&gt;0,J455*100/I455,0)</f>
        <v>100.00217504785105</v>
      </c>
      <c r="L455" s="372">
        <f ca="1">IFERROR(__xludf.DUMMYFUNCTION("IMPORTRANGE(""https://docs.google.com/spreadsheets/d/11923uPwbBZFjjGgGUA6NLw09EwE0CqkOc4q9oUmW1yo/edit?usp=sharing"",""นครสวรรค์!L350"")"),473763)</f>
        <v>473763</v>
      </c>
      <c r="M455" s="372"/>
      <c r="N455" s="372">
        <f ca="1">IFERROR(__xludf.DUMMYFUNCTION("IMPORTRANGE(""https://docs.google.com/spreadsheets/d/11923uPwbBZFjjGgGUA6NLw09EwE0CqkOc4q9oUmW1yo/edit?usp=sharing"",""นครสวรรค์!M350"")"),185645)</f>
        <v>185645</v>
      </c>
      <c r="O455" s="372">
        <f t="shared" ref="O455:O459" ca="1" si="116">+IF(L455&gt;0,N455*100/L455,0)</f>
        <v>39.185204416554271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IFERROR(__xludf.DUMMYFUNCTION("IMPORTRANGE(""https://docs.google.com/spreadsheets/d/11923uPwbBZFjjGgGUA6NLw09EwE0CqkOc4q9oUmW1yo/edit?usp=sharing"",""นครสวรรค์!L351"")"),0)</f>
        <v>0</v>
      </c>
      <c r="M456" s="164"/>
      <c r="N456" s="168">
        <f ca="1">IFERROR(__xludf.DUMMYFUNCTION("IMPORTRANGE(""https://docs.google.com/spreadsheets/d/11923uPwbBZFjjGgGUA6NLw09EwE0CqkOc4q9oUmW1yo/edit?usp=sharing"",""นครสวรรค์!M351"")"),0)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IFERROR(__xludf.DUMMYFUNCTION("IMPORTRANGE(""https://docs.google.com/spreadsheets/d/11923uPwbBZFjjGgGUA6NLw09EwE0CqkOc4q9oUmW1yo/edit?usp=sharing"",""นครสวรรค์!L352"")"),473763)</f>
        <v>473763</v>
      </c>
      <c r="M457" s="165"/>
      <c r="N457" s="168">
        <f ca="1">IFERROR(__xludf.DUMMYFUNCTION("IMPORTRANGE(""https://docs.google.com/spreadsheets/d/11923uPwbBZFjjGgGUA6NLw09EwE0CqkOc4q9oUmW1yo/edit?usp=sharing"",""นครสวรรค์!M352"")"),185645)</f>
        <v>185645</v>
      </c>
      <c r="O457" s="168">
        <f t="shared" ca="1" si="116"/>
        <v>39.185204416554271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IFERROR(__xludf.DUMMYFUNCTION("IMPORTRANGE(""https://docs.google.com/spreadsheets/d/11923uPwbBZFjjGgGUA6NLw09EwE0CqkOc4q9oUmW1yo/edit?usp=sharing"",""นครสวรรค์!L353"")"),0)</f>
        <v>0</v>
      </c>
      <c r="M458" s="168"/>
      <c r="N458" s="168">
        <f ca="1">IFERROR(__xludf.DUMMYFUNCTION("IMPORTRANGE(""https://docs.google.com/spreadsheets/d/11923uPwbBZFjjGgGUA6NLw09EwE0CqkOc4q9oUmW1yo/edit?usp=sharing"",""นครสวรรค์!M353"")"),0)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IFERROR(__xludf.DUMMYFUNCTION("IMPORTRANGE(""https://docs.google.com/spreadsheets/d/11923uPwbBZFjjGgGUA6NLw09EwE0CqkOc4q9oUmW1yo/edit?usp=sharing"",""นครสวรรค์!L354"")"),473763)</f>
        <v>473763</v>
      </c>
      <c r="M459" s="168"/>
      <c r="N459" s="168">
        <f ca="1">IFERROR(__xludf.DUMMYFUNCTION("IMPORTRANGE(""https://docs.google.com/spreadsheets/d/11923uPwbBZFjjGgGUA6NLw09EwE0CqkOc4q9oUmW1yo/edit?usp=sharing"",""นครสวรรค์!M354"")"),185645)</f>
        <v>185645</v>
      </c>
      <c r="O459" s="168">
        <f t="shared" ca="1" si="116"/>
        <v>39.185204416554271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IFERROR(__xludf.DUMMYFUNCTION("IMPORTRANGE(""https://docs.google.com/spreadsheets/d/11923uPwbBZFjjGgGUA6NLw09EwE0CqkOc4q9oUmW1yo/edit?usp=sharing"",""นครสวรรค์!M355"")"),0)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IFERROR(__xludf.DUMMYFUNCTION("IMPORTRANGE(""https://docs.google.com/spreadsheets/d/11923uPwbBZFjjGgGUA6NLw09EwE0CqkOc4q9oUmW1yo/edit?usp=sharing"",""นครสวรรค์!M356"")"),0)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IFERROR(__xludf.DUMMYFUNCTION("IMPORTRANGE(""https://docs.google.com/spreadsheets/d/11923uPwbBZFjjGgGUA6NLw09EwE0CqkOc4q9oUmW1yo/edit?usp=sharing"",""นครสวรรค์!M357"")"),0)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IFERROR(__xludf.DUMMYFUNCTION("IMPORTRANGE(""https://docs.google.com/spreadsheets/d/11923uPwbBZFjjGgGUA6NLw09EwE0CqkOc4q9oUmW1yo/edit?usp=sharing"",""นครสวรรค์!M358"")"),185645)</f>
        <v>185645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IFERROR(__xludf.DUMMYFUNCTION("IMPORTRANGE(""https://docs.google.com/spreadsheets/d/11923uPwbBZFjjGgGUA6NLw09EwE0CqkOc4q9oUmW1yo/edit?usp=sharing"",""นครสวรรค์!I359"")"),45976)</f>
        <v>45976</v>
      </c>
      <c r="J464" s="267">
        <f ca="1">IFERROR(__xludf.DUMMYFUNCTION("IMPORTRANGE(""https://docs.google.com/spreadsheets/d/11923uPwbBZFjjGgGUA6NLw09EwE0CqkOc4q9oUmW1yo/edit?usp=sharing"",""นครสวรรค์!J359"")"),45977)</f>
        <v>45977</v>
      </c>
      <c r="K464" s="268">
        <f t="shared" ref="K464:K515" ca="1" si="117">IF(I464&gt;0,J464*100/I464,0)</f>
        <v>100.00217504785105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IFERROR(__xludf.DUMMYFUNCTION("IMPORTRANGE(""https://docs.google.com/spreadsheets/d/11923uPwbBZFjjGgGUA6NLw09EwE0CqkOc4q9oUmW1yo/edit?usp=sharing"",""นครสวรรค์!I360"")"),45976)</f>
        <v>45976</v>
      </c>
      <c r="J465" s="420">
        <f ca="1">IFERROR(__xludf.DUMMYFUNCTION("IMPORTRANGE(""https://docs.google.com/spreadsheets/d/11923uPwbBZFjjGgGUA6NLw09EwE0CqkOc4q9oUmW1yo/edit?usp=sharing"",""นครสวรรค์!J360"")"),45977)</f>
        <v>45977</v>
      </c>
      <c r="K465" s="201">
        <f t="shared" ca="1" si="117"/>
        <v>100.00217504785105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IFERROR(__xludf.DUMMYFUNCTION("IMPORTRANGE(""https://docs.google.com/spreadsheets/d/11923uPwbBZFjjGgGUA6NLw09EwE0CqkOc4q9oUmW1yo/edit?usp=sharing"",""นครสวรรค์!I361"")"),3447)</f>
        <v>3447</v>
      </c>
      <c r="J466" s="420">
        <f ca="1">IFERROR(__xludf.DUMMYFUNCTION("IMPORTRANGE(""https://docs.google.com/spreadsheets/d/11923uPwbBZFjjGgGUA6NLw09EwE0CqkOc4q9oUmW1yo/edit?usp=sharing"",""นครสวรรค์!J361"")"),3447)</f>
        <v>3447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IFERROR(__xludf.DUMMYFUNCTION("IMPORTRANGE(""https://docs.google.com/spreadsheets/d/11923uPwbBZFjjGgGUA6NLw09EwE0CqkOc4q9oUmW1yo/edit?usp=sharing"",""นครสวรรค์!I362"")"),0)</f>
        <v>0</v>
      </c>
      <c r="J467" s="188">
        <f ca="1">IFERROR(__xludf.DUMMYFUNCTION("IMPORTRANGE(""https://docs.google.com/spreadsheets/d/11923uPwbBZFjjGgGUA6NLw09EwE0CqkOc4q9oUmW1yo/edit?usp=sharing"",""นครสวรรค์!J362"")"),33426)</f>
        <v>33426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IFERROR(__xludf.DUMMYFUNCTION("IMPORTRANGE(""https://docs.google.com/spreadsheets/d/11923uPwbBZFjjGgGUA6NLw09EwE0CqkOc4q9oUmW1yo/edit?usp=sharing"",""นครสวรรค์!I363"")"),0)</f>
        <v>0</v>
      </c>
      <c r="J468" s="188">
        <f ca="1">IFERROR(__xludf.DUMMYFUNCTION("IMPORTRANGE(""https://docs.google.com/spreadsheets/d/11923uPwbBZFjjGgGUA6NLw09EwE0CqkOc4q9oUmW1yo/edit?usp=sharing"",""นครสวรรค์!J363"")"),2614)</f>
        <v>2614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IFERROR(__xludf.DUMMYFUNCTION("IMPORTRANGE(""https://docs.google.com/spreadsheets/d/11923uPwbBZFjjGgGUA6NLw09EwE0CqkOc4q9oUmW1yo/edit?usp=sharing"",""นครสวรรค์!I364"")"),0)</f>
        <v>0</v>
      </c>
      <c r="J469" s="188">
        <f ca="1">IFERROR(__xludf.DUMMYFUNCTION("IMPORTRANGE(""https://docs.google.com/spreadsheets/d/11923uPwbBZFjjGgGUA6NLw09EwE0CqkOc4q9oUmW1yo/edit?usp=sharing"",""นครสวรรค์!J364"")"),11005)</f>
        <v>11005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IFERROR(__xludf.DUMMYFUNCTION("IMPORTRANGE(""https://docs.google.com/spreadsheets/d/11923uPwbBZFjjGgGUA6NLw09EwE0CqkOc4q9oUmW1yo/edit?usp=sharing"",""นครสวรรค์!I365"")"),0)</f>
        <v>0</v>
      </c>
      <c r="J470" s="188">
        <f ca="1">IFERROR(__xludf.DUMMYFUNCTION("IMPORTRANGE(""https://docs.google.com/spreadsheets/d/11923uPwbBZFjjGgGUA6NLw09EwE0CqkOc4q9oUmW1yo/edit?usp=sharing"",""นครสวรรค์!J365"")"),695)</f>
        <v>695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IFERROR(__xludf.DUMMYFUNCTION("IMPORTRANGE(""https://docs.google.com/spreadsheets/d/11923uPwbBZFjjGgGUA6NLw09EwE0CqkOc4q9oUmW1yo/edit?usp=sharing"",""นครสวรรค์!I366"")"),0)</f>
        <v>0</v>
      </c>
      <c r="J471" s="188">
        <f ca="1">IFERROR(__xludf.DUMMYFUNCTION("IMPORTRANGE(""https://docs.google.com/spreadsheets/d/11923uPwbBZFjjGgGUA6NLw09EwE0CqkOc4q9oUmW1yo/edit?usp=sharing"",""นครสวรรค์!J366"")"),1546)</f>
        <v>1546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IFERROR(__xludf.DUMMYFUNCTION("IMPORTRANGE(""https://docs.google.com/spreadsheets/d/11923uPwbBZFjjGgGUA6NLw09EwE0CqkOc4q9oUmW1yo/edit?usp=sharing"",""นครสวรรค์!I367"")"),0)</f>
        <v>0</v>
      </c>
      <c r="J472" s="188">
        <f ca="1">IFERROR(__xludf.DUMMYFUNCTION("IMPORTRANGE(""https://docs.google.com/spreadsheets/d/11923uPwbBZFjjGgGUA6NLw09EwE0CqkOc4q9oUmW1yo/edit?usp=sharing"",""นครสวรรค์!J367"")"),138)</f>
        <v>138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IFERROR(__xludf.DUMMYFUNCTION("IMPORTRANGE(""https://docs.google.com/spreadsheets/d/11923uPwbBZFjjGgGUA6NLw09EwE0CqkOc4q9oUmW1yo/edit?usp=sharing"",""นครสวรรค์!I368"")"),45976)</f>
        <v>45976</v>
      </c>
      <c r="J473" s="420">
        <f ca="1">IFERROR(__xludf.DUMMYFUNCTION("IMPORTRANGE(""https://docs.google.com/spreadsheets/d/11923uPwbBZFjjGgGUA6NLw09EwE0CqkOc4q9oUmW1yo/edit?usp=sharing"",""นครสวรรค์!J368"")"),45976.97)</f>
        <v>45976.97</v>
      </c>
      <c r="K473" s="201">
        <f t="shared" ca="1" si="117"/>
        <v>100.00210979641552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IFERROR(__xludf.DUMMYFUNCTION("IMPORTRANGE(""https://docs.google.com/spreadsheets/d/11923uPwbBZFjjGgGUA6NLw09EwE0CqkOc4q9oUmW1yo/edit?usp=sharing"",""นครสวรรค์!I369"")"),3447)</f>
        <v>3447</v>
      </c>
      <c r="J474" s="420">
        <f ca="1">IFERROR(__xludf.DUMMYFUNCTION("IMPORTRANGE(""https://docs.google.com/spreadsheets/d/11923uPwbBZFjjGgGUA6NLw09EwE0CqkOc4q9oUmW1yo/edit?usp=sharing"",""นครสวรรค์!J369"")"),3447)</f>
        <v>3447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IFERROR(__xludf.DUMMYFUNCTION("IMPORTRANGE(""https://docs.google.com/spreadsheets/d/11923uPwbBZFjjGgGUA6NLw09EwE0CqkOc4q9oUmW1yo/edit?usp=sharing"",""นครสวรรค์!I370"")"),0)</f>
        <v>0</v>
      </c>
      <c r="J475" s="188">
        <f ca="1">IFERROR(__xludf.DUMMYFUNCTION("IMPORTRANGE(""https://docs.google.com/spreadsheets/d/11923uPwbBZFjjGgGUA6NLw09EwE0CqkOc4q9oUmW1yo/edit?usp=sharing"",""นครสวรรค์!J370"")"),37277.22)</f>
        <v>37277.22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IFERROR(__xludf.DUMMYFUNCTION("IMPORTRANGE(""https://docs.google.com/spreadsheets/d/11923uPwbBZFjjGgGUA6NLw09EwE0CqkOc4q9oUmW1yo/edit?usp=sharing"",""นครสวรรค์!I371"")"),0)</f>
        <v>0</v>
      </c>
      <c r="J476" s="188">
        <f ca="1">IFERROR(__xludf.DUMMYFUNCTION("IMPORTRANGE(""https://docs.google.com/spreadsheets/d/11923uPwbBZFjjGgGUA6NLw09EwE0CqkOc4q9oUmW1yo/edit?usp=sharing"",""นครสวรรค์!J371"")"),2877)</f>
        <v>2877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IFERROR(__xludf.DUMMYFUNCTION("IMPORTRANGE(""https://docs.google.com/spreadsheets/d/11923uPwbBZFjjGgGUA6NLw09EwE0CqkOc4q9oUmW1yo/edit?usp=sharing"",""นครสวรรค์!I372"")"),0)</f>
        <v>0</v>
      </c>
      <c r="J477" s="188">
        <f ca="1">IFERROR(__xludf.DUMMYFUNCTION("IMPORTRANGE(""https://docs.google.com/spreadsheets/d/11923uPwbBZFjjGgGUA6NLw09EwE0CqkOc4q9oUmW1yo/edit?usp=sharing"",""นครสวรรค์!J372"")"),7556.46)</f>
        <v>7556.46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IFERROR(__xludf.DUMMYFUNCTION("IMPORTRANGE(""https://docs.google.com/spreadsheets/d/11923uPwbBZFjjGgGUA6NLw09EwE0CqkOc4q9oUmW1yo/edit?usp=sharing"",""นครสวรรค์!I373"")"),0)</f>
        <v>0</v>
      </c>
      <c r="J478" s="188">
        <f ca="1">IFERROR(__xludf.DUMMYFUNCTION("IMPORTRANGE(""https://docs.google.com/spreadsheets/d/11923uPwbBZFjjGgGUA6NLw09EwE0CqkOc4q9oUmW1yo/edit?usp=sharing"",""นครสวรรค์!J373"")"),463)</f>
        <v>463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IFERROR(__xludf.DUMMYFUNCTION("IMPORTRANGE(""https://docs.google.com/spreadsheets/d/11923uPwbBZFjjGgGUA6NLw09EwE0CqkOc4q9oUmW1yo/edit?usp=sharing"",""นครสวรรค์!I374"")"),0)</f>
        <v>0</v>
      </c>
      <c r="J479" s="188">
        <f ca="1">IFERROR(__xludf.DUMMYFUNCTION("IMPORTRANGE(""https://docs.google.com/spreadsheets/d/11923uPwbBZFjjGgGUA6NLw09EwE0CqkOc4q9oUmW1yo/edit?usp=sharing"",""นครสวรรค์!J374"")"),1143.29)</f>
        <v>1143.29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IFERROR(__xludf.DUMMYFUNCTION("IMPORTRANGE(""https://docs.google.com/spreadsheets/d/11923uPwbBZFjjGgGUA6NLw09EwE0CqkOc4q9oUmW1yo/edit?usp=sharing"",""นครสวรรค์!I375"")"),0)</f>
        <v>0</v>
      </c>
      <c r="J480" s="188">
        <f ca="1">IFERROR(__xludf.DUMMYFUNCTION("IMPORTRANGE(""https://docs.google.com/spreadsheets/d/11923uPwbBZFjjGgGUA6NLw09EwE0CqkOc4q9oUmW1yo/edit?usp=sharing"",""นครสวรรค์!J375"")"),107)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IFERROR(__xludf.DUMMYFUNCTION("IMPORTRANGE(""https://docs.google.com/spreadsheets/d/11923uPwbBZFjjGgGUA6NLw09EwE0CqkOc4q9oUmW1yo/edit?usp=sharing"",""นครสวรรค์!I376"")"),45976)</f>
        <v>45976</v>
      </c>
      <c r="J481" s="420">
        <f ca="1">IFERROR(__xludf.DUMMYFUNCTION("IMPORTRANGE(""https://docs.google.com/spreadsheets/d/11923uPwbBZFjjGgGUA6NLw09EwE0CqkOc4q9oUmW1yo/edit?usp=sharing"",""นครสวรรค์!J376"")"),45977)</f>
        <v>45977</v>
      </c>
      <c r="K481" s="201">
        <f t="shared" ca="1" si="117"/>
        <v>100.00217504785105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IFERROR(__xludf.DUMMYFUNCTION("IMPORTRANGE(""https://docs.google.com/spreadsheets/d/11923uPwbBZFjjGgGUA6NLw09EwE0CqkOc4q9oUmW1yo/edit?usp=sharing"",""นครสวรรค์!I377"")"),3447)</f>
        <v>3447</v>
      </c>
      <c r="J482" s="420">
        <f ca="1">IFERROR(__xludf.DUMMYFUNCTION("IMPORTRANGE(""https://docs.google.com/spreadsheets/d/11923uPwbBZFjjGgGUA6NLw09EwE0CqkOc4q9oUmW1yo/edit?usp=sharing"",""นครสวรรค์!J377"")"),3447)</f>
        <v>3447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IFERROR(__xludf.DUMMYFUNCTION("IMPORTRANGE(""https://docs.google.com/spreadsheets/d/11923uPwbBZFjjGgGUA6NLw09EwE0CqkOc4q9oUmW1yo/edit?usp=sharing"",""นครสวรรค์!I378"")"),0)</f>
        <v>0</v>
      </c>
      <c r="J483" s="188">
        <f ca="1">IFERROR(__xludf.DUMMYFUNCTION("IMPORTRANGE(""https://docs.google.com/spreadsheets/d/11923uPwbBZFjjGgGUA6NLw09EwE0CqkOc4q9oUmW1yo/edit?usp=sharing"",""นครสวรรค์!J378"")"),40326)</f>
        <v>40326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IFERROR(__xludf.DUMMYFUNCTION("IMPORTRANGE(""https://docs.google.com/spreadsheets/d/11923uPwbBZFjjGgGUA6NLw09EwE0CqkOc4q9oUmW1yo/edit?usp=sharing"",""นครสวรรค์!I379"")"),0)</f>
        <v>0</v>
      </c>
      <c r="J484" s="188">
        <f ca="1">IFERROR(__xludf.DUMMYFUNCTION("IMPORTRANGE(""https://docs.google.com/spreadsheets/d/11923uPwbBZFjjGgGUA6NLw09EwE0CqkOc4q9oUmW1yo/edit?usp=sharing"",""นครสวรรค์!J379"")"),3067)</f>
        <v>3067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IFERROR(__xludf.DUMMYFUNCTION("IMPORTRANGE(""https://docs.google.com/spreadsheets/d/11923uPwbBZFjjGgGUA6NLw09EwE0CqkOc4q9oUmW1yo/edit?usp=sharing"",""นครสวรรค์!I380"")"),0)</f>
        <v>0</v>
      </c>
      <c r="J485" s="188">
        <f ca="1">IFERROR(__xludf.DUMMYFUNCTION("IMPORTRANGE(""https://docs.google.com/spreadsheets/d/11923uPwbBZFjjGgGUA6NLw09EwE0CqkOc4q9oUmW1yo/edit?usp=sharing"",""นครสวรรค์!J380"")"),63)</f>
        <v>63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IFERROR(__xludf.DUMMYFUNCTION("IMPORTRANGE(""https://docs.google.com/spreadsheets/d/11923uPwbBZFjjGgGUA6NLw09EwE0CqkOc4q9oUmW1yo/edit?usp=sharing"",""นครสวรรค์!I381"")"),0)</f>
        <v>0</v>
      </c>
      <c r="J486" s="188">
        <f ca="1">IFERROR(__xludf.DUMMYFUNCTION("IMPORTRANGE(""https://docs.google.com/spreadsheets/d/11923uPwbBZFjjGgGUA6NLw09EwE0CqkOc4q9oUmW1yo/edit?usp=sharing"",""นครสวรรค์!J381"")"),14)</f>
        <v>14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IFERROR(__xludf.DUMMYFUNCTION("IMPORTRANGE(""https://docs.google.com/spreadsheets/d/11923uPwbBZFjjGgGUA6NLw09EwE0CqkOc4q9oUmW1yo/edit?usp=sharing"",""นครสวรรค์!I382"")"),0)</f>
        <v>0</v>
      </c>
      <c r="J487" s="420">
        <f ca="1">IFERROR(__xludf.DUMMYFUNCTION("IMPORTRANGE(""https://docs.google.com/spreadsheets/d/11923uPwbBZFjjGgGUA6NLw09EwE0CqkOc4q9oUmW1yo/edit?usp=sharing"",""นครสวรรค์!J382"")"),1252)</f>
        <v>1252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IFERROR(__xludf.DUMMYFUNCTION("IMPORTRANGE(""https://docs.google.com/spreadsheets/d/11923uPwbBZFjjGgGUA6NLw09EwE0CqkOc4q9oUmW1yo/edit?usp=sharing"",""นครสวรรค์!I383"")"),0)</f>
        <v>0</v>
      </c>
      <c r="J488" s="420">
        <f ca="1">IFERROR(__xludf.DUMMYFUNCTION("IMPORTRANGE(""https://docs.google.com/spreadsheets/d/11923uPwbBZFjjGgGUA6NLw09EwE0CqkOc4q9oUmW1yo/edit?usp=sharing"",""นครสวรรค์!J383"")"),111)</f>
        <v>111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IFERROR(__xludf.DUMMYFUNCTION("IMPORTRANGE(""https://docs.google.com/spreadsheets/d/11923uPwbBZFjjGgGUA6NLw09EwE0CqkOc4q9oUmW1yo/edit?usp=sharing"",""นครสวรรค์!I384"")"),0)</f>
        <v>0</v>
      </c>
      <c r="J489" s="188">
        <f ca="1">IFERROR(__xludf.DUMMYFUNCTION("IMPORTRANGE(""https://docs.google.com/spreadsheets/d/11923uPwbBZFjjGgGUA6NLw09EwE0CqkOc4q9oUmW1yo/edit?usp=sharing"",""นครสวรรค์!J384"")"),1252)</f>
        <v>1252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IFERROR(__xludf.DUMMYFUNCTION("IMPORTRANGE(""https://docs.google.com/spreadsheets/d/11923uPwbBZFjjGgGUA6NLw09EwE0CqkOc4q9oUmW1yo/edit?usp=sharing"",""นครสวรรค์!I385"")"),0)</f>
        <v>0</v>
      </c>
      <c r="J490" s="188">
        <f ca="1">IFERROR(__xludf.DUMMYFUNCTION("IMPORTRANGE(""https://docs.google.com/spreadsheets/d/11923uPwbBZFjjGgGUA6NLw09EwE0CqkOc4q9oUmW1yo/edit?usp=sharing"",""นครสวรรค์!J385"")"),111)</f>
        <v>111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IFERROR(__xludf.DUMMYFUNCTION("IMPORTRANGE(""https://docs.google.com/spreadsheets/d/11923uPwbBZFjjGgGUA6NLw09EwE0CqkOc4q9oUmW1yo/edit?usp=sharing"",""นครสวรรค์!I386"")"),0)</f>
        <v>0</v>
      </c>
      <c r="J491" s="188">
        <f ca="1">IFERROR(__xludf.DUMMYFUNCTION("IMPORTRANGE(""https://docs.google.com/spreadsheets/d/11923uPwbBZFjjGgGUA6NLw09EwE0CqkOc4q9oUmW1yo/edit?usp=sharing"",""นครสวรรค์!J386"")"),0)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IFERROR(__xludf.DUMMYFUNCTION("IMPORTRANGE(""https://docs.google.com/spreadsheets/d/11923uPwbBZFjjGgGUA6NLw09EwE0CqkOc4q9oUmW1yo/edit?usp=sharing"",""นครสวรรค์!I387"")"),0)</f>
        <v>0</v>
      </c>
      <c r="J492" s="188">
        <f ca="1">IFERROR(__xludf.DUMMYFUNCTION("IMPORTRANGE(""https://docs.google.com/spreadsheets/d/11923uPwbBZFjjGgGUA6NLw09EwE0CqkOc4q9oUmW1yo/edit?usp=sharing"",""นครสวรรค์!J387"")"),0)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IFERROR(__xludf.DUMMYFUNCTION("IMPORTRANGE(""https://docs.google.com/spreadsheets/d/11923uPwbBZFjjGgGUA6NLw09EwE0CqkOc4q9oUmW1yo/edit?usp=sharing"",""นครสวรรค์!I388"")"),0)</f>
        <v>0</v>
      </c>
      <c r="J493" s="188">
        <f ca="1">IFERROR(__xludf.DUMMYFUNCTION("IMPORTRANGE(""https://docs.google.com/spreadsheets/d/11923uPwbBZFjjGgGUA6NLw09EwE0CqkOc4q9oUmW1yo/edit?usp=sharing"",""นครสวรรค์!J388"")"),4336)</f>
        <v>4336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IFERROR(__xludf.DUMMYFUNCTION("IMPORTRANGE(""https://docs.google.com/spreadsheets/d/11923uPwbBZFjjGgGUA6NLw09EwE0CqkOc4q9oUmW1yo/edit?usp=sharing"",""นครสวรรค์!I389"")"),0)</f>
        <v>0</v>
      </c>
      <c r="J494" s="436">
        <f ca="1">IFERROR(__xludf.DUMMYFUNCTION("IMPORTRANGE(""https://docs.google.com/spreadsheets/d/11923uPwbBZFjjGgGUA6NLw09EwE0CqkOc4q9oUmW1yo/edit?usp=sharing"",""นครสวรรค์!J389"")"),255)</f>
        <v>255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IFERROR(__xludf.DUMMYFUNCTION("IMPORTRANGE(""https://docs.google.com/spreadsheets/d/11923uPwbBZFjjGgGUA6NLw09EwE0CqkOc4q9oUmW1yo/edit?usp=sharing"",""นครสวรรค์!I390"")"),0)</f>
        <v>0</v>
      </c>
      <c r="J495" s="436">
        <f ca="1">IFERROR(__xludf.DUMMYFUNCTION("IMPORTRANGE(""https://docs.google.com/spreadsheets/d/11923uPwbBZFjjGgGUA6NLw09EwE0CqkOc4q9oUmW1yo/edit?usp=sharing"",""นครสวรรค์!J390"")"),0)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IFERROR(__xludf.DUMMYFUNCTION("IMPORTRANGE(""https://docs.google.com/spreadsheets/d/11923uPwbBZFjjGgGUA6NLw09EwE0CqkOc4q9oUmW1yo/edit?usp=sharing"",""นครสวรรค์!I391"")"),0)</f>
        <v>0</v>
      </c>
      <c r="J496" s="436">
        <f ca="1">IFERROR(__xludf.DUMMYFUNCTION("IMPORTRANGE(""https://docs.google.com/spreadsheets/d/11923uPwbBZFjjGgGUA6NLw09EwE0CqkOc4q9oUmW1yo/edit?usp=sharing"",""นครสวรรค์!J391"")"),0)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IFERROR(__xludf.DUMMYFUNCTION("IMPORTRANGE(""https://docs.google.com/spreadsheets/d/11923uPwbBZFjjGgGUA6NLw09EwE0CqkOc4q9oUmW1yo/edit?usp=sharing"",""นครสวรรค์!I392"")"),14261)</f>
        <v>14261</v>
      </c>
      <c r="J497" s="443">
        <f ca="1">IFERROR(__xludf.DUMMYFUNCTION("IMPORTRANGE(""https://docs.google.com/spreadsheets/d/11923uPwbBZFjjGgGUA6NLw09EwE0CqkOc4q9oUmW1yo/edit?usp=sharing"",""นครสวรรค์!J392"")"),7615)</f>
        <v>7615</v>
      </c>
      <c r="K497" s="444">
        <f t="shared" ca="1" si="117"/>
        <v>53.397377463011011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IFERROR(__xludf.DUMMYFUNCTION("IMPORTRANGE(""https://docs.google.com/spreadsheets/d/11923uPwbBZFjjGgGUA6NLw09EwE0CqkOc4q9oUmW1yo/edit?usp=sharing"",""นครสวรรค์!I393"")"),14261)</f>
        <v>14261</v>
      </c>
      <c r="J498" s="420">
        <f ca="1">IFERROR(__xludf.DUMMYFUNCTION("IMPORTRANGE(""https://docs.google.com/spreadsheets/d/11923uPwbBZFjjGgGUA6NLw09EwE0CqkOc4q9oUmW1yo/edit?usp=sharing"",""นครสวรรค์!J393"")"),7615)</f>
        <v>7615</v>
      </c>
      <c r="K498" s="163">
        <f t="shared" ca="1" si="117"/>
        <v>53.397377463011011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IFERROR(__xludf.DUMMYFUNCTION("IMPORTRANGE(""https://docs.google.com/spreadsheets/d/11923uPwbBZFjjGgGUA6NLw09EwE0CqkOc4q9oUmW1yo/edit?usp=sharing"",""นครสวรรค์!I394"")"),770)</f>
        <v>770</v>
      </c>
      <c r="J499" s="420">
        <f ca="1">IFERROR(__xludf.DUMMYFUNCTION("IMPORTRANGE(""https://docs.google.com/spreadsheets/d/11923uPwbBZFjjGgGUA6NLw09EwE0CqkOc4q9oUmW1yo/edit?usp=sharing"",""นครสวรรค์!J394"")"),422)</f>
        <v>422</v>
      </c>
      <c r="K499" s="201">
        <f t="shared" ca="1" si="117"/>
        <v>54.805194805194802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IFERROR(__xludf.DUMMYFUNCTION("IMPORTRANGE(""https://docs.google.com/spreadsheets/d/11923uPwbBZFjjGgGUA6NLw09EwE0CqkOc4q9oUmW1yo/edit?usp=sharing"",""นครสวรรค์!I395"")"),0)</f>
        <v>0</v>
      </c>
      <c r="J500" s="162">
        <f ca="1">IFERROR(__xludf.DUMMYFUNCTION("IMPORTRANGE(""https://docs.google.com/spreadsheets/d/11923uPwbBZFjjGgGUA6NLw09EwE0CqkOc4q9oUmW1yo/edit?usp=sharing"",""นครสวรรค์!J395"")"),7521)</f>
        <v>7521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IFERROR(__xludf.DUMMYFUNCTION("IMPORTRANGE(""https://docs.google.com/spreadsheets/d/11923uPwbBZFjjGgGUA6NLw09EwE0CqkOc4q9oUmW1yo/edit?usp=sharing"",""นครสวรรค์!I396"")"),0)</f>
        <v>0</v>
      </c>
      <c r="J501" s="162">
        <f ca="1">IFERROR(__xludf.DUMMYFUNCTION("IMPORTRANGE(""https://docs.google.com/spreadsheets/d/11923uPwbBZFjjGgGUA6NLw09EwE0CqkOc4q9oUmW1yo/edit?usp=sharing"",""นครสวรรค์!J396"")"),415)</f>
        <v>415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IFERROR(__xludf.DUMMYFUNCTION("IMPORTRANGE(""https://docs.google.com/spreadsheets/d/11923uPwbBZFjjGgGUA6NLw09EwE0CqkOc4q9oUmW1yo/edit?usp=sharing"",""นครสวรรค์!I397"")"),0)</f>
        <v>0</v>
      </c>
      <c r="J502" s="188">
        <f ca="1">IFERROR(__xludf.DUMMYFUNCTION("IMPORTRANGE(""https://docs.google.com/spreadsheets/d/11923uPwbBZFjjGgGUA6NLw09EwE0CqkOc4q9oUmW1yo/edit?usp=sharing"",""นครสวรรค์!J397"")"),2388)</f>
        <v>2388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IFERROR(__xludf.DUMMYFUNCTION("IMPORTRANGE(""https://docs.google.com/spreadsheets/d/11923uPwbBZFjjGgGUA6NLw09EwE0CqkOc4q9oUmW1yo/edit?usp=sharing"",""นครสวรรค์!I398"")"),0)</f>
        <v>0</v>
      </c>
      <c r="J503" s="197">
        <f ca="1">IFERROR(__xludf.DUMMYFUNCTION("IMPORTRANGE(""https://docs.google.com/spreadsheets/d/11923uPwbBZFjjGgGUA6NLw09EwE0CqkOc4q9oUmW1yo/edit?usp=sharing"",""นครสวรรค์!J398"")"),128)</f>
        <v>128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IFERROR(__xludf.DUMMYFUNCTION("IMPORTRANGE(""https://docs.google.com/spreadsheets/d/11923uPwbBZFjjGgGUA6NLw09EwE0CqkOc4q9oUmW1yo/edit?usp=sharing"",""นครสวรรค์!I399"")"),0)</f>
        <v>0</v>
      </c>
      <c r="J504" s="188">
        <f ca="1">IFERROR(__xludf.DUMMYFUNCTION("IMPORTRANGE(""https://docs.google.com/spreadsheets/d/11923uPwbBZFjjGgGUA6NLw09EwE0CqkOc4q9oUmW1yo/edit?usp=sharing"",""นครสวรรค์!J399"")"),5133)</f>
        <v>5133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IFERROR(__xludf.DUMMYFUNCTION("IMPORTRANGE(""https://docs.google.com/spreadsheets/d/11923uPwbBZFjjGgGUA6NLw09EwE0CqkOc4q9oUmW1yo/edit?usp=sharing"",""นครสวรรค์!I400"")"),0)</f>
        <v>0</v>
      </c>
      <c r="J505" s="197">
        <f ca="1">IFERROR(__xludf.DUMMYFUNCTION("IMPORTRANGE(""https://docs.google.com/spreadsheets/d/11923uPwbBZFjjGgGUA6NLw09EwE0CqkOc4q9oUmW1yo/edit?usp=sharing"",""นครสวรรค์!J400"")"),287)</f>
        <v>287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IFERROR(__xludf.DUMMYFUNCTION("IMPORTRANGE(""https://docs.google.com/spreadsheets/d/11923uPwbBZFjjGgGUA6NLw09EwE0CqkOc4q9oUmW1yo/edit?usp=sharing"",""นครสวรรค์!I401"")"),0)</f>
        <v>0</v>
      </c>
      <c r="J506" s="188">
        <f ca="1">IFERROR(__xludf.DUMMYFUNCTION("IMPORTRANGE(""https://docs.google.com/spreadsheets/d/11923uPwbBZFjjGgGUA6NLw09EwE0CqkOc4q9oUmW1yo/edit?usp=sharing"",""นครสวรรค์!J401"")"),0)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IFERROR(__xludf.DUMMYFUNCTION("IMPORTRANGE(""https://docs.google.com/spreadsheets/d/11923uPwbBZFjjGgGUA6NLw09EwE0CqkOc4q9oUmW1yo/edit?usp=sharing"",""นครสวรรค์!I402"")"),0)</f>
        <v>0</v>
      </c>
      <c r="J507" s="197">
        <f ca="1">IFERROR(__xludf.DUMMYFUNCTION("IMPORTRANGE(""https://docs.google.com/spreadsheets/d/11923uPwbBZFjjGgGUA6NLw09EwE0CqkOc4q9oUmW1yo/edit?usp=sharing"",""นครสวรรค์!J402"")"),0)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IFERROR(__xludf.DUMMYFUNCTION("IMPORTRANGE(""https://docs.google.com/spreadsheets/d/11923uPwbBZFjjGgGUA6NLw09EwE0CqkOc4q9oUmW1yo/edit?usp=sharing"",""นครสวรรค์!I403"")"),0)</f>
        <v>0</v>
      </c>
      <c r="J508" s="162">
        <f ca="1">IFERROR(__xludf.DUMMYFUNCTION("IMPORTRANGE(""https://docs.google.com/spreadsheets/d/11923uPwbBZFjjGgGUA6NLw09EwE0CqkOc4q9oUmW1yo/edit?usp=sharing"",""นครสวรรค์!J403"")"),68)</f>
        <v>68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IFERROR(__xludf.DUMMYFUNCTION("IMPORTRANGE(""https://docs.google.com/spreadsheets/d/11923uPwbBZFjjGgGUA6NLw09EwE0CqkOc4q9oUmW1yo/edit?usp=sharing"",""นครสวรรค์!I404"")"),0)</f>
        <v>0</v>
      </c>
      <c r="J509" s="162">
        <f ca="1">IFERROR(__xludf.DUMMYFUNCTION("IMPORTRANGE(""https://docs.google.com/spreadsheets/d/11923uPwbBZFjjGgGUA6NLw09EwE0CqkOc4q9oUmW1yo/edit?usp=sharing"",""นครสวรรค์!J404"")"),3)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IFERROR(__xludf.DUMMYFUNCTION("IMPORTRANGE(""https://docs.google.com/spreadsheets/d/11923uPwbBZFjjGgGUA6NLw09EwE0CqkOc4q9oUmW1yo/edit?usp=sharing"",""นครสวรรค์!I405"")"),0)</f>
        <v>0</v>
      </c>
      <c r="J510" s="197">
        <f ca="1">IFERROR(__xludf.DUMMYFUNCTION("IMPORTRANGE(""https://docs.google.com/spreadsheets/d/11923uPwbBZFjjGgGUA6NLw09EwE0CqkOc4q9oUmW1yo/edit?usp=sharing"",""นครสวรรค์!J405"")"),20)</f>
        <v>20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IFERROR(__xludf.DUMMYFUNCTION("IMPORTRANGE(""https://docs.google.com/spreadsheets/d/11923uPwbBZFjjGgGUA6NLw09EwE0CqkOc4q9oUmW1yo/edit?usp=sharing"",""นครสวรรค์!I406"")"),0)</f>
        <v>0</v>
      </c>
      <c r="J511" s="197">
        <f ca="1">IFERROR(__xludf.DUMMYFUNCTION("IMPORTRANGE(""https://docs.google.com/spreadsheets/d/11923uPwbBZFjjGgGUA6NLw09EwE0CqkOc4q9oUmW1yo/edit?usp=sharing"",""นครสวรรค์!J406"")"),1)</f>
        <v>1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IFERROR(__xludf.DUMMYFUNCTION("IMPORTRANGE(""https://docs.google.com/spreadsheets/d/11923uPwbBZFjjGgGUA6NLw09EwE0CqkOc4q9oUmW1yo/edit?usp=sharing"",""นครสวรรค์!I407"")"),0)</f>
        <v>0</v>
      </c>
      <c r="J512" s="197">
        <f ca="1">IFERROR(__xludf.DUMMYFUNCTION("IMPORTRANGE(""https://docs.google.com/spreadsheets/d/11923uPwbBZFjjGgGUA6NLw09EwE0CqkOc4q9oUmW1yo/edit?usp=sharing"",""นครสวรรค์!J407"")"),48)</f>
        <v>48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IFERROR(__xludf.DUMMYFUNCTION("IMPORTRANGE(""https://docs.google.com/spreadsheets/d/11923uPwbBZFjjGgGUA6NLw09EwE0CqkOc4q9oUmW1yo/edit?usp=sharing"",""นครสวรรค์!I408"")"),0)</f>
        <v>0</v>
      </c>
      <c r="J513" s="197">
        <f ca="1">IFERROR(__xludf.DUMMYFUNCTION("IMPORTRANGE(""https://docs.google.com/spreadsheets/d/11923uPwbBZFjjGgGUA6NLw09EwE0CqkOc4q9oUmW1yo/edit?usp=sharing"",""นครสวรรค์!J408"")"),2)</f>
        <v>2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IFERROR(__xludf.DUMMYFUNCTION("IMPORTRANGE(""https://docs.google.com/spreadsheets/d/11923uPwbBZFjjGgGUA6NLw09EwE0CqkOc4q9oUmW1yo/edit?usp=sharing"",""นครสวรรค์!I409"")"),0)</f>
        <v>0</v>
      </c>
      <c r="J514" s="197">
        <f ca="1">IFERROR(__xludf.DUMMYFUNCTION("IMPORTRANGE(""https://docs.google.com/spreadsheets/d/11923uPwbBZFjjGgGUA6NLw09EwE0CqkOc4q9oUmW1yo/edit?usp=sharing"",""นครสวรรค์!J409"")"),26)</f>
        <v>26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IFERROR(__xludf.DUMMYFUNCTION("IMPORTRANGE(""https://docs.google.com/spreadsheets/d/11923uPwbBZFjjGgGUA6NLw09EwE0CqkOc4q9oUmW1yo/edit?usp=sharing"",""นครสวรรค์!I410"")"),0)</f>
        <v>0</v>
      </c>
      <c r="J515" s="197">
        <f ca="1">IFERROR(__xludf.DUMMYFUNCTION("IMPORTRANGE(""https://docs.google.com/spreadsheets/d/11923uPwbBZFjjGgGUA6NLw09EwE0CqkOc4q9oUmW1yo/edit?usp=sharing"",""นครสวรรค์!J410"")"),4)</f>
        <v>4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IFERROR(__xludf.DUMMYFUNCTION("IMPORTRANGE(""https://docs.google.com/spreadsheets/d/11923uPwbBZFjjGgGUA6NLw09EwE0CqkOc4q9oUmW1yo/edit?usp=sharing"",""นครสวรรค์!I411"")"),0)</f>
        <v>0</v>
      </c>
      <c r="J516" s="267">
        <f ca="1">IFERROR(__xludf.DUMMYFUNCTION("IMPORTRANGE(""https://docs.google.com/spreadsheets/d/11923uPwbBZFjjGgGUA6NLw09EwE0CqkOc4q9oUmW1yo/edit?usp=sharing"",""นครสวรรค์!J411"")"),0)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IFERROR(__xludf.DUMMYFUNCTION("IMPORTRANGE(""https://docs.google.com/spreadsheets/d/11923uPwbBZFjjGgGUA6NLw09EwE0CqkOc4q9oUmW1yo/edit?usp=sharing"",""นครสวรรค์!I412"")"),0)</f>
        <v>0</v>
      </c>
      <c r="J517" s="284">
        <f ca="1">IFERROR(__xludf.DUMMYFUNCTION("IMPORTRANGE(""https://docs.google.com/spreadsheets/d/11923uPwbBZFjjGgGUA6NLw09EwE0CqkOc4q9oUmW1yo/edit?usp=sharing"",""นครสวรรค์!J412"")"),0)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IFERROR(__xludf.DUMMYFUNCTION("IMPORTRANGE(""https://docs.google.com/spreadsheets/d/11923uPwbBZFjjGgGUA6NLw09EwE0CqkOc4q9oUmW1yo/edit?usp=sharing"",""นครสวรรค์!I413"")"),0)</f>
        <v>0</v>
      </c>
      <c r="J518" s="284">
        <f ca="1">IFERROR(__xludf.DUMMYFUNCTION("IMPORTRANGE(""https://docs.google.com/spreadsheets/d/11923uPwbBZFjjGgGUA6NLw09EwE0CqkOc4q9oUmW1yo/edit?usp=sharing"",""นครสวรรค์!J413"")"),0)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IFERROR(__xludf.DUMMYFUNCTION("IMPORTRANGE(""https://docs.google.com/spreadsheets/d/11923uPwbBZFjjGgGUA6NLw09EwE0CqkOc4q9oUmW1yo/edit?usp=sharing"",""นครสวรรค์!I414"")"),0)</f>
        <v>0</v>
      </c>
      <c r="J519" s="187">
        <f ca="1">IFERROR(__xludf.DUMMYFUNCTION("IMPORTRANGE(""https://docs.google.com/spreadsheets/d/11923uPwbBZFjjGgGUA6NLw09EwE0CqkOc4q9oUmW1yo/edit?usp=sharing"",""นครสวรรค์!J414"")"),0)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IFERROR(__xludf.DUMMYFUNCTION("IMPORTRANGE(""https://docs.google.com/spreadsheets/d/11923uPwbBZFjjGgGUA6NLw09EwE0CqkOc4q9oUmW1yo/edit?usp=sharing"",""นครสวรรค์!I415"")"),0)</f>
        <v>0</v>
      </c>
      <c r="J520" s="187">
        <f ca="1">IFERROR(__xludf.DUMMYFUNCTION("IMPORTRANGE(""https://docs.google.com/spreadsheets/d/11923uPwbBZFjjGgGUA6NLw09EwE0CqkOc4q9oUmW1yo/edit?usp=sharing"",""นครสวรรค์!J415"")"),0)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IFERROR(__xludf.DUMMYFUNCTION("IMPORTRANGE(""https://docs.google.com/spreadsheets/d/11923uPwbBZFjjGgGUA6NLw09EwE0CqkOc4q9oUmW1yo/edit?usp=sharing"",""นครสวรรค์!I416"")"),0)</f>
        <v>0</v>
      </c>
      <c r="J521" s="187">
        <f ca="1">IFERROR(__xludf.DUMMYFUNCTION("IMPORTRANGE(""https://docs.google.com/spreadsheets/d/11923uPwbBZFjjGgGUA6NLw09EwE0CqkOc4q9oUmW1yo/edit?usp=sharing"",""นครสวรรค์!J416"")"),0)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IFERROR(__xludf.DUMMYFUNCTION("IMPORTRANGE(""https://docs.google.com/spreadsheets/d/11923uPwbBZFjjGgGUA6NLw09EwE0CqkOc4q9oUmW1yo/edit?usp=sharing"",""นครสวรรค์!I417"")"),0)</f>
        <v>0</v>
      </c>
      <c r="J522" s="187">
        <f ca="1">IFERROR(__xludf.DUMMYFUNCTION("IMPORTRANGE(""https://docs.google.com/spreadsheets/d/11923uPwbBZFjjGgGUA6NLw09EwE0CqkOc4q9oUmW1yo/edit?usp=sharing"",""นครสวรรค์!J417"")"),0)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IFERROR(__xludf.DUMMYFUNCTION("IMPORTRANGE(""https://docs.google.com/spreadsheets/d/11923uPwbBZFjjGgGUA6NLw09EwE0CqkOc4q9oUmW1yo/edit?usp=sharing"",""นครสวรรค์!I418"")"),0)</f>
        <v>0</v>
      </c>
      <c r="J523" s="187">
        <f ca="1">IFERROR(__xludf.DUMMYFUNCTION("IMPORTRANGE(""https://docs.google.com/spreadsheets/d/11923uPwbBZFjjGgGUA6NLw09EwE0CqkOc4q9oUmW1yo/edit?usp=sharing"",""นครสวรรค์!J418"")"),307)</f>
        <v>307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IFERROR(__xludf.DUMMYFUNCTION("IMPORTRANGE(""https://docs.google.com/spreadsheets/d/11923uPwbBZFjjGgGUA6NLw09EwE0CqkOc4q9oUmW1yo/edit?usp=sharing"",""นครสวรรค์!I419"")"),0)</f>
        <v>0</v>
      </c>
      <c r="J524" s="187">
        <f ca="1">IFERROR(__xludf.DUMMYFUNCTION("IMPORTRANGE(""https://docs.google.com/spreadsheets/d/11923uPwbBZFjjGgGUA6NLw09EwE0CqkOc4q9oUmW1yo/edit?usp=sharing"",""นครสวรรค์!J419"")"),26)</f>
        <v>26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IFERROR(__xludf.DUMMYFUNCTION("IMPORTRANGE(""https://docs.google.com/spreadsheets/d/11923uPwbBZFjjGgGUA6NLw09EwE0CqkOc4q9oUmW1yo/edit?usp=sharing"",""นครสวรรค์!I420"")"),307)</f>
        <v>307</v>
      </c>
      <c r="J525" s="284">
        <f ca="1">IFERROR(__xludf.DUMMYFUNCTION("IMPORTRANGE(""https://docs.google.com/spreadsheets/d/11923uPwbBZFjjGgGUA6NLw09EwE0CqkOc4q9oUmW1yo/edit?usp=sharing"",""นครสวรรค์!J420"")"),479)</f>
        <v>479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IFERROR(__xludf.DUMMYFUNCTION("IMPORTRANGE(""https://docs.google.com/spreadsheets/d/11923uPwbBZFjjGgGUA6NLw09EwE0CqkOc4q9oUmW1yo/edit?usp=sharing"",""นครสวรรค์!I421"")"),26)</f>
        <v>26</v>
      </c>
      <c r="J526" s="284">
        <f ca="1">IFERROR(__xludf.DUMMYFUNCTION("IMPORTRANGE(""https://docs.google.com/spreadsheets/d/11923uPwbBZFjjGgGUA6NLw09EwE0CqkOc4q9oUmW1yo/edit?usp=sharing"",""นครสวรรค์!J421"")"),37)</f>
        <v>37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IFERROR(__xludf.DUMMYFUNCTION("IMPORTRANGE(""https://docs.google.com/spreadsheets/d/11923uPwbBZFjjGgGUA6NLw09EwE0CqkOc4q9oUmW1yo/edit?usp=sharing"",""นครสวรรค์!I422"")"),0)</f>
        <v>0</v>
      </c>
      <c r="J527" s="197">
        <f ca="1">IFERROR(__xludf.DUMMYFUNCTION("IMPORTRANGE(""https://docs.google.com/spreadsheets/d/11923uPwbBZFjjGgGUA6NLw09EwE0CqkOc4q9oUmW1yo/edit?usp=sharing"",""นครสวรรค์!J422"")"),238)</f>
        <v>238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IFERROR(__xludf.DUMMYFUNCTION("IMPORTRANGE(""https://docs.google.com/spreadsheets/d/11923uPwbBZFjjGgGUA6NLw09EwE0CqkOc4q9oUmW1yo/edit?usp=sharing"",""นครสวรรค์!I423"")"),0)</f>
        <v>0</v>
      </c>
      <c r="J528" s="197">
        <f ca="1">IFERROR(__xludf.DUMMYFUNCTION("IMPORTRANGE(""https://docs.google.com/spreadsheets/d/11923uPwbBZFjjGgGUA6NLw09EwE0CqkOc4q9oUmW1yo/edit?usp=sharing"",""นครสวรรค์!J423"")"),11)</f>
        <v>11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IFERROR(__xludf.DUMMYFUNCTION("IMPORTRANGE(""https://docs.google.com/spreadsheets/d/11923uPwbBZFjjGgGUA6NLw09EwE0CqkOc4q9oUmW1yo/edit?usp=sharing"",""นครสวรรค์!I424"")"),0)</f>
        <v>0</v>
      </c>
      <c r="J529" s="197">
        <f ca="1">IFERROR(__xludf.DUMMYFUNCTION("IMPORTRANGE(""https://docs.google.com/spreadsheets/d/11923uPwbBZFjjGgGUA6NLw09EwE0CqkOc4q9oUmW1yo/edit?usp=sharing"",""นครสวรรค์!J424"")"),216)</f>
        <v>216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IFERROR(__xludf.DUMMYFUNCTION("IMPORTRANGE(""https://docs.google.com/spreadsheets/d/11923uPwbBZFjjGgGUA6NLw09EwE0CqkOc4q9oUmW1yo/edit?usp=sharing"",""นครสวรรค์!I425"")"),0)</f>
        <v>0</v>
      </c>
      <c r="J530" s="197">
        <f ca="1">IFERROR(__xludf.DUMMYFUNCTION("IMPORTRANGE(""https://docs.google.com/spreadsheets/d/11923uPwbBZFjjGgGUA6NLw09EwE0CqkOc4q9oUmW1yo/edit?usp=sharing"",""นครสวรรค์!J425"")"),24)</f>
        <v>24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IFERROR(__xludf.DUMMYFUNCTION("IMPORTRANGE(""https://docs.google.com/spreadsheets/d/11923uPwbBZFjjGgGUA6NLw09EwE0CqkOc4q9oUmW1yo/edit?usp=sharing"",""นครสวรรค์!I426"")"),0)</f>
        <v>0</v>
      </c>
      <c r="J531" s="197">
        <f ca="1">IFERROR(__xludf.DUMMYFUNCTION("IMPORTRANGE(""https://docs.google.com/spreadsheets/d/11923uPwbBZFjjGgGUA6NLw09EwE0CqkOc4q9oUmW1yo/edit?usp=sharing"",""นครสวรรค์!J426"")"),25)</f>
        <v>25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IFERROR(__xludf.DUMMYFUNCTION("IMPORTRANGE(""https://docs.google.com/spreadsheets/d/11923uPwbBZFjjGgGUA6NLw09EwE0CqkOc4q9oUmW1yo/edit?usp=sharing"",""นครสวรรค์!I427"")"),0)</f>
        <v>0</v>
      </c>
      <c r="J532" s="466">
        <f ca="1">IFERROR(__xludf.DUMMYFUNCTION("IMPORTRANGE(""https://docs.google.com/spreadsheets/d/11923uPwbBZFjjGgGUA6NLw09EwE0CqkOc4q9oUmW1yo/edit?usp=sharing"",""นครสวรรค์!J427"")"),2)</f>
        <v>2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IFERROR(__xludf.DUMMYFUNCTION("IMPORTRANGE(""https://docs.google.com/spreadsheets/d/11923uPwbBZFjjGgGUA6NLw09EwE0CqkOc4q9oUmW1yo/edit?usp=sharing"",""นครสวรรค์!I428"")"),22)</f>
        <v>22</v>
      </c>
      <c r="J533" s="409">
        <f ca="1">IFERROR(__xludf.DUMMYFUNCTION("IMPORTRANGE(""https://docs.google.com/spreadsheets/d/11923uPwbBZFjjGgGUA6NLw09EwE0CqkOc4q9oUmW1yo/edit?usp=sharing"",""นครสวรรค์!J428"")"),22)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IFERROR(__xludf.DUMMYFUNCTION("IMPORTRANGE(""https://docs.google.com/spreadsheets/d/11923uPwbBZFjjGgGUA6NLw09EwE0CqkOc4q9oUmW1yo/edit?usp=sharing"",""นครสวรรค์!L428"")"),34340)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IFERROR(__xludf.DUMMYFUNCTION("IMPORTRANGE(""https://docs.google.com/spreadsheets/d/11923uPwbBZFjjGgGUA6NLw09EwE0CqkOc4q9oUmW1yo/edit?usp=sharing"",""นครสวรรค์!M428"")"),21745)</f>
        <v>21745</v>
      </c>
      <c r="O533" s="411">
        <f t="shared" ref="O533:O537" ca="1" si="118">+IF(L533&gt;0,N533*100/L533,0)</f>
        <v>63.322655794991263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IFERROR(__xludf.DUMMYFUNCTION("IMPORTRANGE(""https://docs.google.com/spreadsheets/d/11923uPwbBZFjjGgGUA6NLw09EwE0CqkOc4q9oUmW1yo/edit?usp=sharing"",""นครสวรรค์!L429"")"),0)</f>
        <v>0</v>
      </c>
      <c r="M534" s="164"/>
      <c r="N534" s="168">
        <f ca="1">IFERROR(__xludf.DUMMYFUNCTION("IMPORTRANGE(""https://docs.google.com/spreadsheets/d/11923uPwbBZFjjGgGUA6NLw09EwE0CqkOc4q9oUmW1yo/edit?usp=sharing"",""นครสวรรค์!M429"")"),0)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IFERROR(__xludf.DUMMYFUNCTION("IMPORTRANGE(""https://docs.google.com/spreadsheets/d/11923uPwbBZFjjGgGUA6NLw09EwE0CqkOc4q9oUmW1yo/edit?usp=sharing"",""นครสวรรค์!L430"")"),34340)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IFERROR(__xludf.DUMMYFUNCTION("IMPORTRANGE(""https://docs.google.com/spreadsheets/d/11923uPwbBZFjjGgGUA6NLw09EwE0CqkOc4q9oUmW1yo/edit?usp=sharing"",""นครสวรรค์!M430"")"),21745)</f>
        <v>21745</v>
      </c>
      <c r="O535" s="168">
        <f t="shared" ca="1" si="118"/>
        <v>63.322655794991263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IFERROR(__xludf.DUMMYFUNCTION("IMPORTRANGE(""https://docs.google.com/spreadsheets/d/11923uPwbBZFjjGgGUA6NLw09EwE0CqkOc4q9oUmW1yo/edit?usp=sharing"",""นครสวรรค์!L431"")"),0)</f>
        <v>0</v>
      </c>
      <c r="M536" s="168"/>
      <c r="N536" s="168">
        <f ca="1">IFERROR(__xludf.DUMMYFUNCTION("IMPORTRANGE(""https://docs.google.com/spreadsheets/d/11923uPwbBZFjjGgGUA6NLw09EwE0CqkOc4q9oUmW1yo/edit?usp=sharing"",""นครสวรรค์!M431"")"),0)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IFERROR(__xludf.DUMMYFUNCTION("IMPORTRANGE(""https://docs.google.com/spreadsheets/d/11923uPwbBZFjjGgGUA6NLw09EwE0CqkOc4q9oUmW1yo/edit?usp=sharing"",""นครสวรรค์!L432"")"),34340)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IFERROR(__xludf.DUMMYFUNCTION("IMPORTRANGE(""https://docs.google.com/spreadsheets/d/11923uPwbBZFjjGgGUA6NLw09EwE0CqkOc4q9oUmW1yo/edit?usp=sharing"",""นครสวรรค์!M432"")"),21745)</f>
        <v>21745</v>
      </c>
      <c r="O537" s="168">
        <f t="shared" ca="1" si="118"/>
        <v>63.322655794991263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IFERROR(__xludf.DUMMYFUNCTION("IMPORTRANGE(""https://docs.google.com/spreadsheets/d/11923uPwbBZFjjGgGUA6NLw09EwE0CqkOc4q9oUmW1yo/edit?usp=sharing"",""นครสวรรค์!M433"")"),18740)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IFERROR(__xludf.DUMMYFUNCTION("IMPORTRANGE(""https://docs.google.com/spreadsheets/d/11923uPwbBZFjjGgGUA6NLw09EwE0CqkOc4q9oUmW1yo/edit?usp=sharing"",""นครสวรรค์!M434"")"),0)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IFERROR(__xludf.DUMMYFUNCTION("IMPORTRANGE(""https://docs.google.com/spreadsheets/d/11923uPwbBZFjjGgGUA6NLw09EwE0CqkOc4q9oUmW1yo/edit?usp=sharing"",""นครสวรรค์!M435"")"),0)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IFERROR(__xludf.DUMMYFUNCTION("IMPORTRANGE(""https://docs.google.com/spreadsheets/d/11923uPwbBZFjjGgGUA6NLw09EwE0CqkOc4q9oUmW1yo/edit?usp=sharing"",""นครสวรรค์!M436"")"),3005)</f>
        <v>3005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IFERROR(__xludf.DUMMYFUNCTION("IMPORTRANGE(""https://docs.google.com/spreadsheets/d/11923uPwbBZFjjGgGUA6NLw09EwE0CqkOc4q9oUmW1yo/edit?usp=sharing"",""นครสวรรค์!J438"")"),0)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IFERROR(__xludf.DUMMYFUNCTION("IMPORTRANGE(""https://docs.google.com/spreadsheets/d/11923uPwbBZFjjGgGUA6NLw09EwE0CqkOc4q9oUmW1yo/edit?usp=sharing"",""นครสวรรค์!J439"")"),1)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IFERROR(__xludf.DUMMYFUNCTION("IMPORTRANGE(""https://docs.google.com/spreadsheets/d/11923uPwbBZFjjGgGUA6NLw09EwE0CqkOc4q9oUmW1yo/edit?usp=sharing"",""นครสวรรค์!J440"")"),1)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IFERROR(__xludf.DUMMYFUNCTION("IMPORTRANGE(""https://docs.google.com/spreadsheets/d/11923uPwbBZFjjGgGUA6NLw09EwE0CqkOc4q9oUmW1yo/edit?usp=sharing"",""นครสวรรค์!J441"")"),1)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IFERROR(__xludf.DUMMYFUNCTION("IMPORTRANGE(""https://docs.google.com/spreadsheets/d/11923uPwbBZFjjGgGUA6NLw09EwE0CqkOc4q9oUmW1yo/edit?usp=sharing"",""นครสวรรค์!I442"")"),22)</f>
        <v>22</v>
      </c>
      <c r="J547" s="188">
        <f ca="1">IFERROR(__xludf.DUMMYFUNCTION("IMPORTRANGE(""https://docs.google.com/spreadsheets/d/11923uPwbBZFjjGgGUA6NLw09EwE0CqkOc4q9oUmW1yo/edit?usp=sharing"",""นครสวรรค์!J442"")"),22)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IFERROR(__xludf.DUMMYFUNCTION("IMPORTRANGE(""https://docs.google.com/spreadsheets/d/11923uPwbBZFjjGgGUA6NLw09EwE0CqkOc4q9oUmW1yo/edit?usp=sharing"",""นครสวรรค์!J166"")"),0)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IFERROR(__xludf.DUMMYFUNCTION("IMPORTRANGE(""https://docs.google.com/spreadsheets/d/11923uPwbBZFjjGgGUA6NLw09EwE0CqkOc4q9oUmW1yo/edit?usp=sharing"",""นครสวรรค์!J444"")"),0)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IFERROR(__xludf.DUMMYFUNCTION("IMPORTRANGE(""https://docs.google.com/spreadsheets/d/11923uPwbBZFjjGgGUA6NLw09EwE0CqkOc4q9oUmW1yo/edit?usp=sharing"",""นครสวรรค์!J445"")"),0)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IFERROR(__xludf.DUMMYFUNCTION("IMPORTRANGE(""https://docs.google.com/spreadsheets/d/11923uPwbBZFjjGgGUA6NLw09EwE0CqkOc4q9oUmW1yo/edit?usp=sharing"",""นครสวรรค์!I446"")"),0)</f>
        <v>0</v>
      </c>
      <c r="J551" s="409">
        <f ca="1">IFERROR(__xludf.DUMMYFUNCTION("IMPORTRANGE(""https://docs.google.com/spreadsheets/d/11923uPwbBZFjjGgGUA6NLw09EwE0CqkOc4q9oUmW1yo/edit?usp=sharing"",""นครสวรรค์!J446"")"),0)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IFERROR(__xludf.DUMMYFUNCTION("IMPORTRANGE(""https://docs.google.com/spreadsheets/d/11923uPwbBZFjjGgGUA6NLw09EwE0CqkOc4q9oUmW1yo/edit?usp=sharing"",""นครสวรรค์!L446"")"),0)</f>
        <v>0</v>
      </c>
      <c r="M551" s="411"/>
      <c r="N551" s="411">
        <f ca="1">IFERROR(__xludf.DUMMYFUNCTION("IMPORTRANGE(""https://docs.google.com/spreadsheets/d/11923uPwbBZFjjGgGUA6NLw09EwE0CqkOc4q9oUmW1yo/edit?usp=sharing"",""นครสวรรค์!M446"")"),0)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IFERROR(__xludf.DUMMYFUNCTION("IMPORTRANGE(""https://docs.google.com/spreadsheets/d/11923uPwbBZFjjGgGUA6NLw09EwE0CqkOc4q9oUmW1yo/edit?usp=sharing"",""นครสวรรค์!L447"")"),0)</f>
        <v>0</v>
      </c>
      <c r="M552" s="164"/>
      <c r="N552" s="168">
        <f ca="1">IFERROR(__xludf.DUMMYFUNCTION("IMPORTRANGE(""https://docs.google.com/spreadsheets/d/11923uPwbBZFjjGgGUA6NLw09EwE0CqkOc4q9oUmW1yo/edit?usp=sharing"",""นครสวรรค์!M447"")"),0)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IFERROR(__xludf.DUMMYFUNCTION("IMPORTRANGE(""https://docs.google.com/spreadsheets/d/11923uPwbBZFjjGgGUA6NLw09EwE0CqkOc4q9oUmW1yo/edit?usp=sharing"",""นครสวรรค์!L448"")"),0)</f>
        <v>0</v>
      </c>
      <c r="M553" s="165"/>
      <c r="N553" s="168">
        <f ca="1">IFERROR(__xludf.DUMMYFUNCTION("IMPORTRANGE(""https://docs.google.com/spreadsheets/d/11923uPwbBZFjjGgGUA6NLw09EwE0CqkOc4q9oUmW1yo/edit?usp=sharing"",""นครสวรรค์!M448"")"),0)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IFERROR(__xludf.DUMMYFUNCTION("IMPORTRANGE(""https://docs.google.com/spreadsheets/d/11923uPwbBZFjjGgGUA6NLw09EwE0CqkOc4q9oUmW1yo/edit?usp=sharing"",""นครสวรรค์!L449"")"),0)</f>
        <v>0</v>
      </c>
      <c r="M554" s="168"/>
      <c r="N554" s="168">
        <f ca="1">IFERROR(__xludf.DUMMYFUNCTION("IMPORTRANGE(""https://docs.google.com/spreadsheets/d/11923uPwbBZFjjGgGUA6NLw09EwE0CqkOc4q9oUmW1yo/edit?usp=sharing"",""นครสวรรค์!M449"")"),0)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IFERROR(__xludf.DUMMYFUNCTION("IMPORTRANGE(""https://docs.google.com/spreadsheets/d/11923uPwbBZFjjGgGUA6NLw09EwE0CqkOc4q9oUmW1yo/edit?usp=sharing"",""นครสวรรค์!L450"")"),0)</f>
        <v>0</v>
      </c>
      <c r="M555" s="168"/>
      <c r="N555" s="168">
        <f ca="1">IFERROR(__xludf.DUMMYFUNCTION("IMPORTRANGE(""https://docs.google.com/spreadsheets/d/11923uPwbBZFjjGgGUA6NLw09EwE0CqkOc4q9oUmW1yo/edit?usp=sharing"",""นครสวรรค์!M450"")"),0)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IFERROR(__xludf.DUMMYFUNCTION("IMPORTRANGE(""https://docs.google.com/spreadsheets/d/11923uPwbBZFjjGgGUA6NLw09EwE0CqkOc4q9oUmW1yo/edit?usp=sharing"",""นครสวรรค์!M451"")"),0)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IFERROR(__xludf.DUMMYFUNCTION("IMPORTRANGE(""https://docs.google.com/spreadsheets/d/11923uPwbBZFjjGgGUA6NLw09EwE0CqkOc4q9oUmW1yo/edit?usp=sharing"",""นครสวรรค์!M452"")"),0)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IFERROR(__xludf.DUMMYFUNCTION("IMPORTRANGE(""https://docs.google.com/spreadsheets/d/11923uPwbBZFjjGgGUA6NLw09EwE0CqkOc4q9oUmW1yo/edit?usp=sharing"",""นครสวรรค์!M453"")"),0)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IFERROR(__xludf.DUMMYFUNCTION("IMPORTRANGE(""https://docs.google.com/spreadsheets/d/11923uPwbBZFjjGgGUA6NLw09EwE0CqkOc4q9oUmW1yo/edit?usp=sharing"",""นครสวรรค์!M454"")"),0)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IFERROR(__xludf.DUMMYFUNCTION("IMPORTRANGE(""https://docs.google.com/spreadsheets/d/11923uPwbBZFjjGgGUA6NLw09EwE0CqkOc4q9oUmW1yo/edit?usp=sharing"",""นครสวรรค์!I455"")"),0)</f>
        <v>0</v>
      </c>
      <c r="J560" s="162">
        <f ca="1">IFERROR(__xludf.DUMMYFUNCTION("IMPORTRANGE(""https://docs.google.com/spreadsheets/d/11923uPwbBZFjjGgGUA6NLw09EwE0CqkOc4q9oUmW1yo/edit?usp=sharing"",""นครสวรรค์!J455"")"),0)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IFERROR(__xludf.DUMMYFUNCTION("IMPORTRANGE(""https://docs.google.com/spreadsheets/d/11923uPwbBZFjjGgGUA6NLw09EwE0CqkOc4q9oUmW1yo/edit?usp=sharing"",""นครสวรรค์!I456"")"),0)</f>
        <v>0</v>
      </c>
      <c r="J561" s="203">
        <f ca="1">IFERROR(__xludf.DUMMYFUNCTION("IMPORTRANGE(""https://docs.google.com/spreadsheets/d/11923uPwbBZFjjGgGUA6NLw09EwE0CqkOc4q9oUmW1yo/edit?usp=sharing"",""นครสวรรค์!J456"")"),0)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IFERROR(__xludf.DUMMYFUNCTION("IMPORTRANGE(""https://docs.google.com/spreadsheets/d/11923uPwbBZFjjGgGUA6NLw09EwE0CqkOc4q9oUmW1yo/edit?usp=sharing"",""นครสวรรค์!I459"")"),2750)</f>
        <v>2750</v>
      </c>
      <c r="J564" s="370">
        <f ca="1">IFERROR(__xludf.DUMMYFUNCTION("IMPORTRANGE(""https://docs.google.com/spreadsheets/d/11923uPwbBZFjjGgGUA6NLw09EwE0CqkOc4q9oUmW1yo/edit?usp=sharing"",""นครสวรรค์!J459"")"),2507)</f>
        <v>2507</v>
      </c>
      <c r="K564" s="371">
        <f ca="1">IF(I564&gt;0,J564*100/I564,0)</f>
        <v>91.163636363636357</v>
      </c>
      <c r="L564" s="372">
        <f ca="1">IFERROR(__xludf.DUMMYFUNCTION("IMPORTRANGE(""https://docs.google.com/spreadsheets/d/11923uPwbBZFjjGgGUA6NLw09EwE0CqkOc4q9oUmW1yo/edit?usp=sharing"",""นครสวรรค์!L459"")"),140160)</f>
        <v>140160</v>
      </c>
      <c r="M564" s="372"/>
      <c r="N564" s="372">
        <f ca="1">IFERROR(__xludf.DUMMYFUNCTION("IMPORTRANGE(""https://docs.google.com/spreadsheets/d/11923uPwbBZFjjGgGUA6NLw09EwE0CqkOc4q9oUmW1yo/edit?usp=sharing"",""นครสวรรค์!M459"")"),86247)</f>
        <v>86247</v>
      </c>
      <c r="O564" s="372">
        <f t="shared" ref="O564:O568" ca="1" si="122">+IF(L564&gt;0,N564*100/L564,0)</f>
        <v>61.534674657534246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IFERROR(__xludf.DUMMYFUNCTION("IMPORTRANGE(""https://docs.google.com/spreadsheets/d/11923uPwbBZFjjGgGUA6NLw09EwE0CqkOc4q9oUmW1yo/edit?usp=sharing"",""นครสวรรค์!L460"")"),0)</f>
        <v>0</v>
      </c>
      <c r="M565" s="164"/>
      <c r="N565" s="168">
        <f ca="1">IFERROR(__xludf.DUMMYFUNCTION("IMPORTRANGE(""https://docs.google.com/spreadsheets/d/11923uPwbBZFjjGgGUA6NLw09EwE0CqkOc4q9oUmW1yo/edit?usp=sharing"",""นครสวรรค์!M460"")"),0)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IFERROR(__xludf.DUMMYFUNCTION("IMPORTRANGE(""https://docs.google.com/spreadsheets/d/11923uPwbBZFjjGgGUA6NLw09EwE0CqkOc4q9oUmW1yo/edit?usp=sharing"",""นครสวรรค์!L461"")"),140160)</f>
        <v>140160</v>
      </c>
      <c r="M566" s="165"/>
      <c r="N566" s="168">
        <f ca="1">IFERROR(__xludf.DUMMYFUNCTION("IMPORTRANGE(""https://docs.google.com/spreadsheets/d/11923uPwbBZFjjGgGUA6NLw09EwE0CqkOc4q9oUmW1yo/edit?usp=sharing"",""นครสวรรค์!M461"")"),86247)</f>
        <v>86247</v>
      </c>
      <c r="O566" s="168">
        <f t="shared" ca="1" si="122"/>
        <v>61.534674657534246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IFERROR(__xludf.DUMMYFUNCTION("IMPORTRANGE(""https://docs.google.com/spreadsheets/d/11923uPwbBZFjjGgGUA6NLw09EwE0CqkOc4q9oUmW1yo/edit?usp=sharing"",""นครสวรรค์!L462"")"),0)</f>
        <v>0</v>
      </c>
      <c r="M567" s="168"/>
      <c r="N567" s="168">
        <f ca="1">IFERROR(__xludf.DUMMYFUNCTION("IMPORTRANGE(""https://docs.google.com/spreadsheets/d/11923uPwbBZFjjGgGUA6NLw09EwE0CqkOc4q9oUmW1yo/edit?usp=sharing"",""นครสวรรค์!M462"")"),0)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IFERROR(__xludf.DUMMYFUNCTION("IMPORTRANGE(""https://docs.google.com/spreadsheets/d/11923uPwbBZFjjGgGUA6NLw09EwE0CqkOc4q9oUmW1yo/edit?usp=sharing"",""นครสวรรค์!L463"")"),140160)</f>
        <v>140160</v>
      </c>
      <c r="M568" s="168"/>
      <c r="N568" s="168">
        <f ca="1">IFERROR(__xludf.DUMMYFUNCTION("IMPORTRANGE(""https://docs.google.com/spreadsheets/d/11923uPwbBZFjjGgGUA6NLw09EwE0CqkOc4q9oUmW1yo/edit?usp=sharing"",""นครสวรรค์!M463"")"),86247)</f>
        <v>86247</v>
      </c>
      <c r="O568" s="168">
        <f t="shared" ca="1" si="122"/>
        <v>61.534674657534246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IFERROR(__xludf.DUMMYFUNCTION("IMPORTRANGE(""https://docs.google.com/spreadsheets/d/11923uPwbBZFjjGgGUA6NLw09EwE0CqkOc4q9oUmW1yo/edit?usp=sharing"",""นครสวรรค์!M464"")"),0)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IFERROR(__xludf.DUMMYFUNCTION("IMPORTRANGE(""https://docs.google.com/spreadsheets/d/11923uPwbBZFjjGgGUA6NLw09EwE0CqkOc4q9oUmW1yo/edit?usp=sharing"",""นครสวรรค์!M465"")"),0)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IFERROR(__xludf.DUMMYFUNCTION("IMPORTRANGE(""https://docs.google.com/spreadsheets/d/11923uPwbBZFjjGgGUA6NLw09EwE0CqkOc4q9oUmW1yo/edit?usp=sharing"",""นครสวรรค์!M466"")"),63798)</f>
        <v>63798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IFERROR(__xludf.DUMMYFUNCTION("IMPORTRANGE(""https://docs.google.com/spreadsheets/d/11923uPwbBZFjjGgGUA6NLw09EwE0CqkOc4q9oUmW1yo/edit?usp=sharing"",""นครสวรรค์!M467"")"),22449)</f>
        <v>22449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IFERROR(__xludf.DUMMYFUNCTION("IMPORTRANGE(""https://docs.google.com/spreadsheets/d/11923uPwbBZFjjGgGUA6NLw09EwE0CqkOc4q9oUmW1yo/edit?usp=sharing"",""นครสวรรค์!I468"")"),2750)</f>
        <v>2750</v>
      </c>
      <c r="J573" s="420">
        <f ca="1">IFERROR(__xludf.DUMMYFUNCTION("IMPORTRANGE(""https://docs.google.com/spreadsheets/d/11923uPwbBZFjjGgGUA6NLw09EwE0CqkOc4q9oUmW1yo/edit?usp=sharing"",""นครสวรรค์!J468"")"),2507)</f>
        <v>2507</v>
      </c>
      <c r="K573" s="201">
        <f ca="1">IF(I573&gt;0,J573*100/I573,0)</f>
        <v>91.163636363636357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IFERROR(__xludf.DUMMYFUNCTION("IMPORTRANGE(""https://docs.google.com/spreadsheets/d/11923uPwbBZFjjGgGUA6NLw09EwE0CqkOc4q9oUmW1yo/edit?usp=sharing"",""นครสวรรค์!I470"")"),0)</f>
        <v>0</v>
      </c>
      <c r="J575" s="197">
        <f ca="1">IFERROR(__xludf.DUMMYFUNCTION("IMPORTRANGE(""https://docs.google.com/spreadsheets/d/11923uPwbBZFjjGgGUA6NLw09EwE0CqkOc4q9oUmW1yo/edit?usp=sharing"",""นครสวรรค์!J470"")"),7)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IFERROR(__xludf.DUMMYFUNCTION("IMPORTRANGE(""https://docs.google.com/spreadsheets/d/11923uPwbBZFjjGgGUA6NLw09EwE0CqkOc4q9oUmW1yo/edit?usp=sharing"",""นครสวรรค์!I471"")"),0)</f>
        <v>0</v>
      </c>
      <c r="J576" s="197">
        <f ca="1">IFERROR(__xludf.DUMMYFUNCTION("IMPORTRANGE(""https://docs.google.com/spreadsheets/d/11923uPwbBZFjjGgGUA6NLw09EwE0CqkOc4q9oUmW1yo/edit?usp=sharing"",""นครสวรรค์!J471"")"),315)</f>
        <v>315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IFERROR(__xludf.DUMMYFUNCTION("IMPORTRANGE(""https://docs.google.com/spreadsheets/d/11923uPwbBZFjjGgGUA6NLw09EwE0CqkOc4q9oUmW1yo/edit?usp=sharing"",""นครสวรรค์!I472"")"),0)</f>
        <v>0</v>
      </c>
      <c r="J577" s="188">
        <f ca="1">IFERROR(__xludf.DUMMYFUNCTION("IMPORTRANGE(""https://docs.google.com/spreadsheets/d/11923uPwbBZFjjGgGUA6NLw09EwE0CqkOc4q9oUmW1yo/edit?usp=sharing"",""นครสวรรค์!J472"")"),2184)</f>
        <v>2184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IFERROR(__xludf.DUMMYFUNCTION("IMPORTRANGE(""https://docs.google.com/spreadsheets/d/11923uPwbBZFjjGgGUA6NLw09EwE0CqkOc4q9oUmW1yo/edit?usp=sharing"",""นครสวรรค์!I473"")"),0)</f>
        <v>0</v>
      </c>
      <c r="J578" s="197">
        <f ca="1">IFERROR(__xludf.DUMMYFUNCTION("IMPORTRANGE(""https://docs.google.com/spreadsheets/d/11923uPwbBZFjjGgGUA6NLw09EwE0CqkOc4q9oUmW1yo/edit?usp=sharing"",""นครสวรรค์!J473"")"),8)</f>
        <v>8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IFERROR(__xludf.DUMMYFUNCTION("IMPORTRANGE(""https://docs.google.com/spreadsheets/d/11923uPwbBZFjjGgGUA6NLw09EwE0CqkOc4q9oUmW1yo/edit?usp=sharing"",""นครสวรรค์!I474"")"),0)</f>
        <v>0</v>
      </c>
      <c r="J579" s="197">
        <f ca="1">IFERROR(__xludf.DUMMYFUNCTION("IMPORTRANGE(""https://docs.google.com/spreadsheets/d/11923uPwbBZFjjGgGUA6NLw09EwE0CqkOc4q9oUmW1yo/edit?usp=sharing"",""นครสวรรค์!J474"")"),0)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IFERROR(__xludf.DUMMYFUNCTION("IMPORTRANGE(""https://docs.google.com/spreadsheets/d/11923uPwbBZFjjGgGUA6NLw09EwE0CqkOc4q9oUmW1yo/edit?usp=sharing"",""นครสวรรค์!I475"")"),0)</f>
        <v>0</v>
      </c>
      <c r="J580" s="370">
        <f ca="1">IFERROR(__xludf.DUMMYFUNCTION("IMPORTRANGE(""https://docs.google.com/spreadsheets/d/11923uPwbBZFjjGgGUA6NLw09EwE0CqkOc4q9oUmW1yo/edit?usp=sharing"",""นครสวรรค์!J475"")"),0)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IFERROR(__xludf.DUMMYFUNCTION("IMPORTRANGE(""https://docs.google.com/spreadsheets/d/11923uPwbBZFjjGgGUA6NLw09EwE0CqkOc4q9oUmW1yo/edit?usp=sharing"",""นครสวรรค์!L475"")"),0)</f>
        <v>0</v>
      </c>
      <c r="M580" s="372"/>
      <c r="N580" s="372">
        <f ca="1">IFERROR(__xludf.DUMMYFUNCTION("IMPORTRANGE(""https://docs.google.com/spreadsheets/d/11923uPwbBZFjjGgGUA6NLw09EwE0CqkOc4q9oUmW1yo/edit?usp=sharing"",""นครสวรรค์!M475"")"),0)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IFERROR(__xludf.DUMMYFUNCTION("IMPORTRANGE(""https://docs.google.com/spreadsheets/d/11923uPwbBZFjjGgGUA6NLw09EwE0CqkOc4q9oUmW1yo/edit?usp=sharing"",""นครสวรรค์!L476"")"),0)</f>
        <v>0</v>
      </c>
      <c r="M581" s="164"/>
      <c r="N581" s="168">
        <f ca="1">IFERROR(__xludf.DUMMYFUNCTION("IMPORTRANGE(""https://docs.google.com/spreadsheets/d/11923uPwbBZFjjGgGUA6NLw09EwE0CqkOc4q9oUmW1yo/edit?usp=sharing"",""นครสวรรค์!M476"")"),0)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IFERROR(__xludf.DUMMYFUNCTION("IMPORTRANGE(""https://docs.google.com/spreadsheets/d/11923uPwbBZFjjGgGUA6NLw09EwE0CqkOc4q9oUmW1yo/edit?usp=sharing"",""นครสวรรค์!L477"")"),0)</f>
        <v>0</v>
      </c>
      <c r="M582" s="165"/>
      <c r="N582" s="168">
        <f ca="1">IFERROR(__xludf.DUMMYFUNCTION("IMPORTRANGE(""https://docs.google.com/spreadsheets/d/11923uPwbBZFjjGgGUA6NLw09EwE0CqkOc4q9oUmW1yo/edit?usp=sharing"",""นครสวรรค์!M477"")"),0)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IFERROR(__xludf.DUMMYFUNCTION("IMPORTRANGE(""https://docs.google.com/spreadsheets/d/11923uPwbBZFjjGgGUA6NLw09EwE0CqkOc4q9oUmW1yo/edit?usp=sharing"",""นครสวรรค์!L478"")"),0)</f>
        <v>0</v>
      </c>
      <c r="M583" s="168"/>
      <c r="N583" s="168">
        <f ca="1">IFERROR(__xludf.DUMMYFUNCTION("IMPORTRANGE(""https://docs.google.com/spreadsheets/d/11923uPwbBZFjjGgGUA6NLw09EwE0CqkOc4q9oUmW1yo/edit?usp=sharing"",""นครสวรรค์!M478"")"),0)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IFERROR(__xludf.DUMMYFUNCTION("IMPORTRANGE(""https://docs.google.com/spreadsheets/d/11923uPwbBZFjjGgGUA6NLw09EwE0CqkOc4q9oUmW1yo/edit?usp=sharing"",""นครสวรรค์!L479"")"),0)</f>
        <v>0</v>
      </c>
      <c r="M584" s="168"/>
      <c r="N584" s="168">
        <f ca="1">IFERROR(__xludf.DUMMYFUNCTION("IMPORTRANGE(""https://docs.google.com/spreadsheets/d/11923uPwbBZFjjGgGUA6NLw09EwE0CqkOc4q9oUmW1yo/edit?usp=sharing"",""นครสวรรค์!M479"")"),0)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IFERROR(__xludf.DUMMYFUNCTION("IMPORTRANGE(""https://docs.google.com/spreadsheets/d/11923uPwbBZFjjGgGUA6NLw09EwE0CqkOc4q9oUmW1yo/edit?usp=sharing"",""นครสวรรค์!M480"")"),0)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IFERROR(__xludf.DUMMYFUNCTION("IMPORTRANGE(""https://docs.google.com/spreadsheets/d/11923uPwbBZFjjGgGUA6NLw09EwE0CqkOc4q9oUmW1yo/edit?usp=sharing"",""นครสวรรค์!M481"")"),0)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IFERROR(__xludf.DUMMYFUNCTION("IMPORTRANGE(""https://docs.google.com/spreadsheets/d/11923uPwbBZFjjGgGUA6NLw09EwE0CqkOc4q9oUmW1yo/edit?usp=sharing"",""นครสวรรค์!M482"")"),0)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IFERROR(__xludf.DUMMYFUNCTION("IMPORTRANGE(""https://docs.google.com/spreadsheets/d/11923uPwbBZFjjGgGUA6NLw09EwE0CqkOc4q9oUmW1yo/edit?usp=sharing"",""นครสวรรค์!M483"")"),0)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IFERROR(__xludf.DUMMYFUNCTION("IMPORTRANGE(""https://docs.google.com/spreadsheets/d/11923uPwbBZFjjGgGUA6NLw09EwE0CqkOc4q9oUmW1yo/edit?usp=sharing"",""นครสวรรค์!I484"")"),0)</f>
        <v>0</v>
      </c>
      <c r="J589" s="187">
        <f ca="1">IFERROR(__xludf.DUMMYFUNCTION("IMPORTRANGE(""https://docs.google.com/spreadsheets/d/11923uPwbBZFjjGgGUA6NLw09EwE0CqkOc4q9oUmW1yo/edit?usp=sharing"",""นครสวรรค์!J484"")"),0)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IFERROR(__xludf.DUMMYFUNCTION("IMPORTRANGE(""https://docs.google.com/spreadsheets/d/11923uPwbBZFjjGgGUA6NLw09EwE0CqkOc4q9oUmW1yo/edit?usp=sharing"",""นครสวรรค์!I485"")"),0)</f>
        <v>0</v>
      </c>
      <c r="J590" s="187">
        <f ca="1">IFERROR(__xludf.DUMMYFUNCTION("IMPORTRANGE(""https://docs.google.com/spreadsheets/d/11923uPwbBZFjjGgGUA6NLw09EwE0CqkOc4q9oUmW1yo/edit?usp=sharing"",""นครสวรรค์!J485"")"),0)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IFERROR(__xludf.DUMMYFUNCTION("IMPORTRANGE(""https://docs.google.com/spreadsheets/d/11923uPwbBZFjjGgGUA6NLw09EwE0CqkOc4q9oUmW1yo/edit?usp=sharing"",""นครสวรรค์!I486"")"),0)</f>
        <v>0</v>
      </c>
      <c r="J591" s="187">
        <f ca="1">IFERROR(__xludf.DUMMYFUNCTION("IMPORTRANGE(""https://docs.google.com/spreadsheets/d/11923uPwbBZFjjGgGUA6NLw09EwE0CqkOc4q9oUmW1yo/edit?usp=sharing"",""นครสวรรค์!J486"")"),0)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IFERROR(__xludf.DUMMYFUNCTION("IMPORTRANGE(""https://docs.google.com/spreadsheets/d/11923uPwbBZFjjGgGUA6NLw09EwE0CqkOc4q9oUmW1yo/edit?usp=sharing"",""นครสวรรค์!I487"")"),0)</f>
        <v>0</v>
      </c>
      <c r="J592" s="187">
        <f ca="1">IFERROR(__xludf.DUMMYFUNCTION("IMPORTRANGE(""https://docs.google.com/spreadsheets/d/11923uPwbBZFjjGgGUA6NLw09EwE0CqkOc4q9oUmW1yo/edit?usp=sharing"",""นครสวรรค์!J487"")"),0)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IFERROR(__xludf.DUMMYFUNCTION("IMPORTRANGE(""https://docs.google.com/spreadsheets/d/11923uPwbBZFjjGgGUA6NLw09EwE0CqkOc4q9oUmW1yo/edit?usp=sharing"",""นครสวรรค์!I488"")"),0)</f>
        <v>0</v>
      </c>
      <c r="J593" s="187">
        <f ca="1">IFERROR(__xludf.DUMMYFUNCTION("IMPORTRANGE(""https://docs.google.com/spreadsheets/d/11923uPwbBZFjjGgGUA6NLw09EwE0CqkOc4q9oUmW1yo/edit?usp=sharing"",""นครสวรรค์!J488"")"),0)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IFERROR(__xludf.DUMMYFUNCTION("IMPORTRANGE(""https://docs.google.com/spreadsheets/d/11923uPwbBZFjjGgGUA6NLw09EwE0CqkOc4q9oUmW1yo/edit?usp=sharing"",""นครสวรรค์!I489"")"),0)</f>
        <v>0</v>
      </c>
      <c r="J594" s="187">
        <f ca="1">IFERROR(__xludf.DUMMYFUNCTION("IMPORTRANGE(""https://docs.google.com/spreadsheets/d/11923uPwbBZFjjGgGUA6NLw09EwE0CqkOc4q9oUmW1yo/edit?usp=sharing"",""นครสวรรค์!J489"")"),0)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IFERROR(__xludf.DUMMYFUNCTION("IMPORTRANGE(""https://docs.google.com/spreadsheets/d/11923uPwbBZFjjGgGUA6NLw09EwE0CqkOc4q9oUmW1yo/edit?usp=sharing"",""นครสวรรค์!I490"")"),0)</f>
        <v>0</v>
      </c>
      <c r="J595" s="187">
        <f ca="1">IFERROR(__xludf.DUMMYFUNCTION("IMPORTRANGE(""https://docs.google.com/spreadsheets/d/11923uPwbBZFjjGgGUA6NLw09EwE0CqkOc4q9oUmW1yo/edit?usp=sharing"",""นครสวรรค์!J490"")"),0)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IFERROR(__xludf.DUMMYFUNCTION("IMPORTRANGE(""https://docs.google.com/spreadsheets/d/11923uPwbBZFjjGgGUA6NLw09EwE0CqkOc4q9oUmW1yo/edit?usp=sharing"",""นครสวรรค์!I491"")"),0)</f>
        <v>0</v>
      </c>
      <c r="J596" s="241">
        <f ca="1">IFERROR(__xludf.DUMMYFUNCTION("IMPORTRANGE(""https://docs.google.com/spreadsheets/d/11923uPwbBZFjjGgGUA6NLw09EwE0CqkOc4q9oUmW1yo/edit?usp=sharing"",""นครสวรรค์!J491"")"),0)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IFERROR(__xludf.DUMMYFUNCTION("IMPORTRANGE(""https://docs.google.com/spreadsheets/d/11923uPwbBZFjjGgGUA6NLw09EwE0CqkOc4q9oUmW1yo/edit?usp=sharing"",""นครสวรรค์!I492"")"),50)</f>
        <v>50</v>
      </c>
      <c r="J597" s="487">
        <f ca="1">IFERROR(__xludf.DUMMYFUNCTION("IMPORTRANGE(""https://docs.google.com/spreadsheets/d/11923uPwbBZFjjGgGUA6NLw09EwE0CqkOc4q9oUmW1yo/edit?usp=sharing"",""นครสวรรค์!J492"")"),0)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IFERROR(__xludf.DUMMYFUNCTION("IMPORTRANGE(""https://docs.google.com/spreadsheets/d/11923uPwbBZFjjGgGUA6NLw09EwE0CqkOc4q9oUmW1yo/edit?usp=sharing"",""นครสวรรค์!L492"")"),5350)</f>
        <v>5350</v>
      </c>
      <c r="M597" s="411"/>
      <c r="N597" s="411">
        <f ca="1">IFERROR(__xludf.DUMMYFUNCTION("IMPORTRANGE(""https://docs.google.com/spreadsheets/d/11923uPwbBZFjjGgGUA6NLw09EwE0CqkOc4q9oUmW1yo/edit?usp=sharing"",""นครสวรรค์!M492"")"),800)</f>
        <v>800</v>
      </c>
      <c r="O597" s="411">
        <f t="shared" ref="O597:O601" ca="1" si="126">+IF(L597&gt;0,N597*100/L597,0)</f>
        <v>14.953271028037383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IFERROR(__xludf.DUMMYFUNCTION("IMPORTRANGE(""https://docs.google.com/spreadsheets/d/11923uPwbBZFjjGgGUA6NLw09EwE0CqkOc4q9oUmW1yo/edit?usp=sharing"",""นครสวรรค์!L493"")"),0)</f>
        <v>0</v>
      </c>
      <c r="M598" s="164"/>
      <c r="N598" s="168">
        <f ca="1">IFERROR(__xludf.DUMMYFUNCTION("IMPORTRANGE(""https://docs.google.com/spreadsheets/d/11923uPwbBZFjjGgGUA6NLw09EwE0CqkOc4q9oUmW1yo/edit?usp=sharing"",""นครสวรรค์!M493"")"),0)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IFERROR(__xludf.DUMMYFUNCTION("IMPORTRANGE(""https://docs.google.com/spreadsheets/d/11923uPwbBZFjjGgGUA6NLw09EwE0CqkOc4q9oUmW1yo/edit?usp=sharing"",""นครสวรรค์!L494"")"),5350)</f>
        <v>5350</v>
      </c>
      <c r="M599" s="165"/>
      <c r="N599" s="168">
        <f ca="1">IFERROR(__xludf.DUMMYFUNCTION("IMPORTRANGE(""https://docs.google.com/spreadsheets/d/11923uPwbBZFjjGgGUA6NLw09EwE0CqkOc4q9oUmW1yo/edit?usp=sharing"",""นครสวรรค์!M494"")"),800)</f>
        <v>800</v>
      </c>
      <c r="O599" s="168">
        <f t="shared" ca="1" si="126"/>
        <v>14.953271028037383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IFERROR(__xludf.DUMMYFUNCTION("IMPORTRANGE(""https://docs.google.com/spreadsheets/d/11923uPwbBZFjjGgGUA6NLw09EwE0CqkOc4q9oUmW1yo/edit?usp=sharing"",""นครสวรรค์!L495"")"),0)</f>
        <v>0</v>
      </c>
      <c r="M600" s="168"/>
      <c r="N600" s="168">
        <f ca="1">IFERROR(__xludf.DUMMYFUNCTION("IMPORTRANGE(""https://docs.google.com/spreadsheets/d/11923uPwbBZFjjGgGUA6NLw09EwE0CqkOc4q9oUmW1yo/edit?usp=sharing"",""นครสวรรค์!M495"")"),0)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IFERROR(__xludf.DUMMYFUNCTION("IMPORTRANGE(""https://docs.google.com/spreadsheets/d/11923uPwbBZFjjGgGUA6NLw09EwE0CqkOc4q9oUmW1yo/edit?usp=sharing"",""นครสวรรค์!L496"")"),5350)</f>
        <v>5350</v>
      </c>
      <c r="M601" s="168"/>
      <c r="N601" s="168">
        <f ca="1">IFERROR(__xludf.DUMMYFUNCTION("IMPORTRANGE(""https://docs.google.com/spreadsheets/d/11923uPwbBZFjjGgGUA6NLw09EwE0CqkOc4q9oUmW1yo/edit?usp=sharing"",""นครสวรรค์!M496"")"),800)</f>
        <v>800</v>
      </c>
      <c r="O601" s="168">
        <f t="shared" ca="1" si="126"/>
        <v>14.953271028037383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IFERROR(__xludf.DUMMYFUNCTION("IMPORTRANGE(""https://docs.google.com/spreadsheets/d/11923uPwbBZFjjGgGUA6NLw09EwE0CqkOc4q9oUmW1yo/edit?usp=sharing"",""นครสวรรค์!M497"")"),0)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IFERROR(__xludf.DUMMYFUNCTION("IMPORTRANGE(""https://docs.google.com/spreadsheets/d/11923uPwbBZFjjGgGUA6NLw09EwE0CqkOc4q9oUmW1yo/edit?usp=sharing"",""นครสวรรค์!M498"")"),0)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IFERROR(__xludf.DUMMYFUNCTION("IMPORTRANGE(""https://docs.google.com/spreadsheets/d/11923uPwbBZFjjGgGUA6NLw09EwE0CqkOc4q9oUmW1yo/edit?usp=sharing"",""นครสวรรค์!M499"")"),0)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IFERROR(__xludf.DUMMYFUNCTION("IMPORTRANGE(""https://docs.google.com/spreadsheets/d/11923uPwbBZFjjGgGUA6NLw09EwE0CqkOc4q9oUmW1yo/edit?usp=sharing"",""นครสวรรค์!M500"")"),800)</f>
        <v>800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IFERROR(__xludf.DUMMYFUNCTION("IMPORTRANGE(""https://docs.google.com/spreadsheets/d/11923uPwbBZFjjGgGUA6NLw09EwE0CqkOc4q9oUmW1yo/edit?usp=sharing"",""นครสวรรค์!J502"")"),0)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IFERROR(__xludf.DUMMYFUNCTION("IMPORTRANGE(""https://docs.google.com/spreadsheets/d/11923uPwbBZFjjGgGUA6NLw09EwE0CqkOc4q9oUmW1yo/edit?usp=sharing"",""นครสวรรค์!J503"")"),1)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IFERROR(__xludf.DUMMYFUNCTION("IMPORTRANGE(""https://docs.google.com/spreadsheets/d/11923uPwbBZFjjGgGUA6NLw09EwE0CqkOc4q9oUmW1yo/edit?usp=sharing"",""นครสวรรค์!J166"")"),0)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IFERROR(__xludf.DUMMYFUNCTION("IMPORTRANGE(""https://docs.google.com/spreadsheets/d/11923uPwbBZFjjGgGUA6NLw09EwE0CqkOc4q9oUmW1yo/edit?usp=sharing"",""นครสวรรค์!J166"")"),0)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IFERROR(__xludf.DUMMYFUNCTION("IMPORTRANGE(""https://docs.google.com/spreadsheets/d/11923uPwbBZFjjGgGUA6NLw09EwE0CqkOc4q9oUmW1yo/edit?usp=sharing"",""นครสวรรค์!I506"")"),50)</f>
        <v>50</v>
      </c>
      <c r="J611" s="162">
        <f ca="1">IFERROR(__xludf.DUMMYFUNCTION("IMPORTRANGE(""https://docs.google.com/spreadsheets/d/11923uPwbBZFjjGgGUA6NLw09EwE0CqkOc4q9oUmW1yo/edit?usp=sharing"",""นครสวรรค์!J506"")"),0)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IFERROR(__xludf.DUMMYFUNCTION("IMPORTRANGE(""https://docs.google.com/spreadsheets/d/11923uPwbBZFjjGgGUA6NLw09EwE0CqkOc4q9oUmW1yo/edit?usp=sharing"",""นครสวรรค์!I507"")"),0)</f>
        <v>0</v>
      </c>
      <c r="J612" s="197">
        <f ca="1">IFERROR(__xludf.DUMMYFUNCTION("IMPORTRANGE(""https://docs.google.com/spreadsheets/d/11923uPwbBZFjjGgGUA6NLw09EwE0CqkOc4q9oUmW1yo/edit?usp=sharing"",""นครสวรรค์!J507"")"),14)</f>
        <v>14</v>
      </c>
      <c r="K612" s="163">
        <f t="shared" ca="1" si="127"/>
        <v>28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IFERROR(__xludf.DUMMYFUNCTION("IMPORTRANGE(""https://docs.google.com/spreadsheets/d/11923uPwbBZFjjGgGUA6NLw09EwE0CqkOc4q9oUmW1yo/edit?usp=sharing"",""นครสวรรค์!I508"")"),0)</f>
        <v>0</v>
      </c>
      <c r="J613" s="197">
        <f ca="1">IFERROR(__xludf.DUMMYFUNCTION("IMPORTRANGE(""https://docs.google.com/spreadsheets/d/11923uPwbBZFjjGgGUA6NLw09EwE0CqkOc4q9oUmW1yo/edit?usp=sharing"",""นครสวรรค์!J508"")"),0)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IFERROR(__xludf.DUMMYFUNCTION("IMPORTRANGE(""https://docs.google.com/spreadsheets/d/11923uPwbBZFjjGgGUA6NLw09EwE0CqkOc4q9oUmW1yo/edit?usp=sharing"",""นครสวรรค์!I509"")"),0)</f>
        <v>0</v>
      </c>
      <c r="J614" s="197">
        <f ca="1">IFERROR(__xludf.DUMMYFUNCTION("IMPORTRANGE(""https://docs.google.com/spreadsheets/d/11923uPwbBZFjjGgGUA6NLw09EwE0CqkOc4q9oUmW1yo/edit?usp=sharing"",""นครสวรรค์!J509"")"),0)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IFERROR(__xludf.DUMMYFUNCTION("IMPORTRANGE(""https://docs.google.com/spreadsheets/d/11923uPwbBZFjjGgGUA6NLw09EwE0CqkOc4q9oUmW1yo/edit?usp=sharing"",""นครสวรรค์!I510"")"),0)</f>
        <v>0</v>
      </c>
      <c r="J615" s="197">
        <f ca="1">IFERROR(__xludf.DUMMYFUNCTION("IMPORTRANGE(""https://docs.google.com/spreadsheets/d/11923uPwbBZFjjGgGUA6NLw09EwE0CqkOc4q9oUmW1yo/edit?usp=sharing"",""นครสวรรค์!J510"")"),0)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IFERROR(__xludf.DUMMYFUNCTION("IMPORTRANGE(""https://docs.google.com/spreadsheets/d/11923uPwbBZFjjGgGUA6NLw09EwE0CqkOc4q9oUmW1yo/edit?usp=sharing"",""นครสวรรค์!I511"")"),0)</f>
        <v>0</v>
      </c>
      <c r="J616" s="197">
        <f ca="1">IFERROR(__xludf.DUMMYFUNCTION("IMPORTRANGE(""https://docs.google.com/spreadsheets/d/11923uPwbBZFjjGgGUA6NLw09EwE0CqkOc4q9oUmW1yo/edit?usp=sharing"",""นครสวรรค์!J511"")"),0)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IFERROR(__xludf.DUMMYFUNCTION("IMPORTRANGE(""https://docs.google.com/spreadsheets/d/11923uPwbBZFjjGgGUA6NLw09EwE0CqkOc4q9oUmW1yo/edit?usp=sharing"",""นครสวรรค์!I512"")"),0)</f>
        <v>0</v>
      </c>
      <c r="J617" s="187">
        <f ca="1">IFERROR(__xludf.DUMMYFUNCTION("IMPORTRANGE(""https://docs.google.com/spreadsheets/d/11923uPwbBZFjjGgGUA6NLw09EwE0CqkOc4q9oUmW1yo/edit?usp=sharing"",""นครสวรรค์!J512"")"),0)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IFERROR(__xludf.DUMMYFUNCTION("IMPORTRANGE(""https://docs.google.com/spreadsheets/d/11923uPwbBZFjjGgGUA6NLw09EwE0CqkOc4q9oUmW1yo/edit?usp=sharing"",""นครสวรรค์!I513"")"),0)</f>
        <v>0</v>
      </c>
      <c r="J618" s="188">
        <f ca="1">IFERROR(__xludf.DUMMYFUNCTION("IMPORTRANGE(""https://docs.google.com/spreadsheets/d/11923uPwbBZFjjGgGUA6NLw09EwE0CqkOc4q9oUmW1yo/edit?usp=sharing"",""นครสวรรค์!J513"")"),0)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IFERROR(__xludf.DUMMYFUNCTION("IMPORTRANGE(""https://docs.google.com/spreadsheets/d/11923uPwbBZFjjGgGUA6NLw09EwE0CqkOc4q9oUmW1yo/edit?usp=sharing"",""นครสวรรค์!I514"")"),0)</f>
        <v>0</v>
      </c>
      <c r="J619" s="188">
        <f ca="1">IFERROR(__xludf.DUMMYFUNCTION("IMPORTRANGE(""https://docs.google.com/spreadsheets/d/11923uPwbBZFjjGgGUA6NLw09EwE0CqkOc4q9oUmW1yo/edit?usp=sharing"",""นครสวรรค์!J514"")"),0)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IFERROR(__xludf.DUMMYFUNCTION("IMPORTRANGE(""https://docs.google.com/spreadsheets/d/11923uPwbBZFjjGgGUA6NLw09EwE0CqkOc4q9oUmW1yo/edit?usp=sharing"",""นครสวรรค์!I515"")"),0)</f>
        <v>0</v>
      </c>
      <c r="J620" s="202">
        <f ca="1">IFERROR(__xludf.DUMMYFUNCTION("IMPORTRANGE(""https://docs.google.com/spreadsheets/d/11923uPwbBZFjjGgGUA6NLw09EwE0CqkOc4q9oUmW1yo/edit?usp=sharing"",""นครสวรรค์!J515"")"),0)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IFERROR(__xludf.DUMMYFUNCTION("IMPORTRANGE(""https://docs.google.com/spreadsheets/d/11923uPwbBZFjjGgGUA6NLw09EwE0CqkOc4q9oUmW1yo/edit?usp=sharing"",""นครสวรรค์!I516"")"),0)</f>
        <v>0</v>
      </c>
      <c r="J621" s="202">
        <f ca="1">IFERROR(__xludf.DUMMYFUNCTION("IMPORTRANGE(""https://docs.google.com/spreadsheets/d/11923uPwbBZFjjGgGUA6NLw09EwE0CqkOc4q9oUmW1yo/edit?usp=sharing"",""นครสวรรค์!J516"")"),0)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IFERROR(__xludf.DUMMYFUNCTION("IMPORTRANGE(""https://docs.google.com/spreadsheets/d/11923uPwbBZFjjGgGUA6NLw09EwE0CqkOc4q9oUmW1yo/edit?usp=sharing"",""นครสวรรค์!I517"")"),0)</f>
        <v>0</v>
      </c>
      <c r="J622" s="188">
        <f ca="1">IFERROR(__xludf.DUMMYFUNCTION("IMPORTRANGE(""https://docs.google.com/spreadsheets/d/11923uPwbBZFjjGgGUA6NLw09EwE0CqkOc4q9oUmW1yo/edit?usp=sharing"",""นครสวรรค์!J517"")"),0)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IFERROR(__xludf.DUMMYFUNCTION("IMPORTRANGE(""https://docs.google.com/spreadsheets/d/11923uPwbBZFjjGgGUA6NLw09EwE0CqkOc4q9oUmW1yo/edit?usp=sharing"",""นครสวรรค์!I518"")"),0)</f>
        <v>0</v>
      </c>
      <c r="J623" s="188">
        <f ca="1">IFERROR(__xludf.DUMMYFUNCTION("IMPORTRANGE(""https://docs.google.com/spreadsheets/d/11923uPwbBZFjjGgGUA6NLw09EwE0CqkOc4q9oUmW1yo/edit?usp=sharing"",""นครสวรรค์!J518"")"),0)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IFERROR(__xludf.DUMMYFUNCTION("IMPORTRANGE(""https://docs.google.com/spreadsheets/d/11923uPwbBZFjjGgGUA6NLw09EwE0CqkOc4q9oUmW1yo/edit?usp=sharing"",""นครสวรรค์!I519"")"),0)</f>
        <v>0</v>
      </c>
      <c r="J624" s="187">
        <f ca="1">IFERROR(__xludf.DUMMYFUNCTION("IMPORTRANGE(""https://docs.google.com/spreadsheets/d/11923uPwbBZFjjGgGUA6NLw09EwE0CqkOc4q9oUmW1yo/edit?usp=sharing"",""นครสวรรค์!J519"")"),0)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IFERROR(__xludf.DUMMYFUNCTION("IMPORTRANGE(""https://docs.google.com/spreadsheets/d/11923uPwbBZFjjGgGUA6NLw09EwE0CqkOc4q9oUmW1yo/edit?usp=sharing"",""นครสวรรค์!I520"")"),0)</f>
        <v>0</v>
      </c>
      <c r="J625" s="188">
        <f ca="1">IFERROR(__xludf.DUMMYFUNCTION("IMPORTRANGE(""https://docs.google.com/spreadsheets/d/11923uPwbBZFjjGgGUA6NLw09EwE0CqkOc4q9oUmW1yo/edit?usp=sharing"",""นครสวรรค์!J520"")"),0)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IFERROR(__xludf.DUMMYFUNCTION("IMPORTRANGE(""https://docs.google.com/spreadsheets/d/11923uPwbBZFjjGgGUA6NLw09EwE0CqkOc4q9oUmW1yo/edit?usp=sharing"",""นครสวรรค์!I521"")"),0)</f>
        <v>0</v>
      </c>
      <c r="J626" s="188">
        <f ca="1">IFERROR(__xludf.DUMMYFUNCTION("IMPORTRANGE(""https://docs.google.com/spreadsheets/d/11923uPwbBZFjjGgGUA6NLw09EwE0CqkOc4q9oUmW1yo/edit?usp=sharing"",""นครสวรรค์!J521"")"),0)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IFERROR(__xludf.DUMMYFUNCTION("IMPORTRANGE(""https://docs.google.com/spreadsheets/d/11923uPwbBZFjjGgGUA6NLw09EwE0CqkOc4q9oUmW1yo/edit?usp=sharing"",""นครสวรรค์!I523"")"),1200000)</f>
        <v>1200000</v>
      </c>
      <c r="J628" s="341">
        <f ca="1">IFERROR(__xludf.DUMMYFUNCTION("IMPORTRANGE(""https://docs.google.com/spreadsheets/d/11923uPwbBZFjjGgGUA6NLw09EwE0CqkOc4q9oUmW1yo/edit?usp=sharing"",""นครสวรรค์!J523"")"),1200000)</f>
        <v>1200000</v>
      </c>
      <c r="K628" s="342">
        <f t="shared" ref="K628:K635" ca="1" si="129">IF(I628&gt;0,J628*100/I628,0)</f>
        <v>100</v>
      </c>
      <c r="L628" s="342"/>
      <c r="M628" s="342"/>
      <c r="N628" s="342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IFERROR(__xludf.DUMMYFUNCTION("IMPORTRANGE(""https://docs.google.com/spreadsheets/d/11923uPwbBZFjjGgGUA6NLw09EwE0CqkOc4q9oUmW1yo/edit?usp=sharing"",""นครสวรรค์!I524"")"),60)</f>
        <v>60</v>
      </c>
      <c r="J629" s="341">
        <f ca="1">IFERROR(__xludf.DUMMYFUNCTION("IMPORTRANGE(""https://docs.google.com/spreadsheets/d/11923uPwbBZFjjGgGUA6NLw09EwE0CqkOc4q9oUmW1yo/edit?usp=sharing"",""นครสวรรค์!J524"")"),60)</f>
        <v>60</v>
      </c>
      <c r="K629" s="342">
        <f t="shared" ca="1" si="129"/>
        <v>100</v>
      </c>
      <c r="L629" s="342"/>
      <c r="M629" s="342"/>
      <c r="N629" s="342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IFERROR(__xludf.DUMMYFUNCTION("IMPORTRANGE(""https://docs.google.com/spreadsheets/d/11923uPwbBZFjjGgGUA6NLw09EwE0CqkOc4q9oUmW1yo/edit?usp=sharing"",""นครสวรรค์!I525"")"),4985434.51)</f>
        <v>4985434.51</v>
      </c>
      <c r="J630" s="341">
        <f ca="1">IFERROR(__xludf.DUMMYFUNCTION("IMPORTRANGE(""https://docs.google.com/spreadsheets/d/11923uPwbBZFjjGgGUA6NLw09EwE0CqkOc4q9oUmW1yo/edit?usp=sharing"",""นครสวรรค์!J525"")"),611140.24)</f>
        <v>611140.24</v>
      </c>
      <c r="K630" s="342">
        <f t="shared" ca="1" si="129"/>
        <v>12.258515055691706</v>
      </c>
      <c r="L630" s="342"/>
      <c r="M630" s="342"/>
      <c r="N630" s="342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IFERROR(__xludf.DUMMYFUNCTION("IMPORTRANGE(""https://docs.google.com/spreadsheets/d/11923uPwbBZFjjGgGUA6NLw09EwE0CqkOc4q9oUmW1yo/edit?usp=sharing"",""นครสวรรค์!I526"")"),266)</f>
        <v>266</v>
      </c>
      <c r="J631" s="341">
        <f ca="1">IFERROR(__xludf.DUMMYFUNCTION("IMPORTRANGE(""https://docs.google.com/spreadsheets/d/11923uPwbBZFjjGgGUA6NLw09EwE0CqkOc4q9oUmW1yo/edit?usp=sharing"",""นครสวรรค์!J526"")"),220)</f>
        <v>220</v>
      </c>
      <c r="K631" s="342">
        <f t="shared" ca="1" si="129"/>
        <v>82.706766917293237</v>
      </c>
      <c r="L631" s="342"/>
      <c r="M631" s="342"/>
      <c r="N631" s="342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IFERROR(__xludf.DUMMYFUNCTION("IMPORTRANGE(""https://docs.google.com/spreadsheets/d/11923uPwbBZFjjGgGUA6NLw09EwE0CqkOc4q9oUmW1yo/edit?usp=sharing"",""นครสวรรค์!I527"")"),51382380.47)</f>
        <v>51382380.469999999</v>
      </c>
      <c r="J632" s="341">
        <f ca="1">IFERROR(__xludf.DUMMYFUNCTION("IMPORTRANGE(""https://docs.google.com/spreadsheets/d/11923uPwbBZFjjGgGUA6NLw09EwE0CqkOc4q9oUmW1yo/edit?usp=sharing"",""นครสวรรค์!J527"")"),14058709.29)</f>
        <v>14058709.289999999</v>
      </c>
      <c r="K632" s="342">
        <f t="shared" ca="1" si="129"/>
        <v>27.360953621462297</v>
      </c>
      <c r="L632" s="342"/>
      <c r="M632" s="342"/>
      <c r="N632" s="342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IFERROR(__xludf.DUMMYFUNCTION("IMPORTRANGE(""https://docs.google.com/spreadsheets/d/11923uPwbBZFjjGgGUA6NLw09EwE0CqkOc4q9oUmW1yo/edit?usp=sharing"",""นครสวรรค์!I528"")"),4298)</f>
        <v>4298</v>
      </c>
      <c r="J633" s="341">
        <f ca="1">IFERROR(__xludf.DUMMYFUNCTION("IMPORTRANGE(""https://docs.google.com/spreadsheets/d/11923uPwbBZFjjGgGUA6NLw09EwE0CqkOc4q9oUmW1yo/edit?usp=sharing"",""นครสวรรค์!J528"")"),2052)</f>
        <v>2052</v>
      </c>
      <c r="K633" s="342">
        <f t="shared" ca="1" si="129"/>
        <v>47.743136342484874</v>
      </c>
      <c r="L633" s="342"/>
      <c r="M633" s="342"/>
      <c r="N633" s="342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IFERROR(__xludf.DUMMYFUNCTION("IMPORTRANGE(""https://docs.google.com/spreadsheets/d/11923uPwbBZFjjGgGUA6NLw09EwE0CqkOc4q9oUmW1yo/edit?usp=sharing"",""นครสวรรค์!I529"")"),1260000)</f>
        <v>1260000</v>
      </c>
      <c r="J634" s="341">
        <f ca="1">IFERROR(__xludf.DUMMYFUNCTION("IMPORTRANGE(""https://docs.google.com/spreadsheets/d/11923uPwbBZFjjGgGUA6NLw09EwE0CqkOc4q9oUmW1yo/edit?usp=sharing"",""นครสวรรค์!J529"")"),0)</f>
        <v>0</v>
      </c>
      <c r="K634" s="342">
        <f t="shared" ca="1" si="129"/>
        <v>0</v>
      </c>
      <c r="L634" s="342"/>
      <c r="M634" s="342"/>
      <c r="N634" s="342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IFERROR(__xludf.DUMMYFUNCTION("IMPORTRANGE(""https://docs.google.com/spreadsheets/d/11923uPwbBZFjjGgGUA6NLw09EwE0CqkOc4q9oUmW1yo/edit?usp=sharing"",""นครสวรรค์!I530"")"),63)</f>
        <v>63</v>
      </c>
      <c r="J635" s="504">
        <f ca="1">IFERROR(__xludf.DUMMYFUNCTION("IMPORTRANGE(""https://docs.google.com/spreadsheets/d/11923uPwbBZFjjGgGUA6NLw09EwE0CqkOc4q9oUmW1yo/edit?usp=sharing"",""นครสวรรค์!J530"")"),0)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138115</v>
      </c>
      <c r="M636" s="510"/>
      <c r="N636" s="509">
        <f ca="1">SUM(N637:N638)</f>
        <v>19450</v>
      </c>
      <c r="O636" s="509">
        <f t="shared" ref="O636:O640" ca="1" si="130">+IF(L636&gt;0,N636*100/L636,0)</f>
        <v>14.082467508959924</v>
      </c>
      <c r="P636" s="509"/>
    </row>
    <row r="637" spans="1:16" ht="21.75" customHeight="1" x14ac:dyDescent="0.45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138115</v>
      </c>
      <c r="M638" s="520"/>
      <c r="N638" s="521">
        <f ca="1">SUM(N639:N640)</f>
        <v>19450</v>
      </c>
      <c r="O638" s="521">
        <f t="shared" ca="1" si="130"/>
        <v>14.082467508959924</v>
      </c>
      <c r="P638" s="52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138115</v>
      </c>
      <c r="M640" s="520"/>
      <c r="N640" s="521">
        <f ca="1">SUM(N641:N644)</f>
        <v>19450</v>
      </c>
      <c r="O640" s="521">
        <f t="shared" ca="1" si="130"/>
        <v>14.082467508959924</v>
      </c>
      <c r="P640" s="52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19450</v>
      </c>
      <c r="O644" s="524"/>
      <c r="P644" s="524"/>
    </row>
    <row r="645" spans="1:16" ht="21.75" customHeight="1" x14ac:dyDescent="0.45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5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IFERROR(__xludf.DUMMYFUNCTION("IMPORTRANGE(""https://docs.google.com/spreadsheets/d/11923uPwbBZFjjGgGUA6NLw09EwE0CqkOc4q9oUmW1yo/edit?usp=sharing"",""นครสวรรค์!J541"")"),0)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5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IFERROR(__xludf.DUMMYFUNCTION("IMPORTRANGE(""https://docs.google.com/spreadsheets/d/11923uPwbBZFjjGgGUA6NLw09EwE0CqkOc4q9oUmW1yo/edit?usp=sharing"",""นครสวรรค์!J542"")"),0)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5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IFERROR(__xludf.DUMMYFUNCTION("IMPORTRANGE(""https://docs.google.com/spreadsheets/d/11923uPwbBZFjjGgGUA6NLw09EwE0CqkOc4q9oUmW1yo/edit?usp=sharing"",""นครสวรรค์!I543"")"),85)</f>
        <v>85</v>
      </c>
      <c r="J648" s="535">
        <f ca="1">IFERROR(__xludf.DUMMYFUNCTION("IMPORTRANGE(""https://docs.google.com/spreadsheets/d/11923uPwbBZFjjGgGUA6NLw09EwE0CqkOc4q9oUmW1yo/edit?usp=sharing"",""นครสวรรค์!J543"")"),0)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IFERROR(__xludf.DUMMYFUNCTION("IMPORTRANGE(""https://docs.google.com/spreadsheets/d/11923uPwbBZFjjGgGUA6NLw09EwE0CqkOc4q9oUmW1yo/edit?usp=sharing"",""นครสวรรค์!L543"")"),6800)</f>
        <v>6800</v>
      </c>
      <c r="M648" s="520"/>
      <c r="N648" s="537">
        <f ca="1">IFERROR(__xludf.DUMMYFUNCTION("IMPORTRANGE(""https://docs.google.com/spreadsheets/d/11923uPwbBZFjjGgGUA6NLw09EwE0CqkOc4q9oUmW1yo/edit?usp=sharing"",""นครสวรรค์!M543"")"),0)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5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IFERROR(__xludf.DUMMYFUNCTION("IMPORTRANGE(""https://docs.google.com/spreadsheets/d/11923uPwbBZFjjGgGUA6NLw09EwE0CqkOc4q9oUmW1yo/edit?usp=sharing"",""นครสวรรค์!I544"")"),7)</f>
        <v>7</v>
      </c>
      <c r="J649" s="535">
        <f ca="1">IFERROR(__xludf.DUMMYFUNCTION("IMPORTRANGE(""https://docs.google.com/spreadsheets/d/11923uPwbBZFjjGgGUA6NLw09EwE0CqkOc4q9oUmW1yo/edit?usp=sharing"",""นครสวรรค์!J544"")"),0)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IFERROR(__xludf.DUMMYFUNCTION("IMPORTRANGE(""https://docs.google.com/spreadsheets/d/11923uPwbBZFjjGgGUA6NLw09EwE0CqkOc4q9oUmW1yo/edit?usp=sharing"",""นครสวรรค์!L544"")"),840)</f>
        <v>840</v>
      </c>
      <c r="M649" s="520"/>
      <c r="N649" s="537">
        <f ca="1">IFERROR(__xludf.DUMMYFUNCTION("IMPORTRANGE(""https://docs.google.com/spreadsheets/d/11923uPwbBZFjjGgGUA6NLw09EwE0CqkOc4q9oUmW1yo/edit?usp=sharing"",""นครสวรรค์!M544"")"),0)</f>
        <v>0</v>
      </c>
      <c r="O649" s="536">
        <f t="shared" ca="1" si="132"/>
        <v>0</v>
      </c>
      <c r="P649" s="536"/>
    </row>
    <row r="650" spans="1:16" ht="21.75" customHeight="1" x14ac:dyDescent="0.45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IFERROR(__xludf.DUMMYFUNCTION("IMPORTRANGE(""https://docs.google.com/spreadsheets/d/11923uPwbBZFjjGgGUA6NLw09EwE0CqkOc4q9oUmW1yo/edit?usp=sharing"",""นครสวรรค์!I545"")"),1455)</f>
        <v>1455</v>
      </c>
      <c r="J650" s="535">
        <f ca="1">IFERROR(__xludf.DUMMYFUNCTION("IMPORTRANGE(""https://docs.google.com/spreadsheets/d/11923uPwbBZFjjGgGUA6NLw09EwE0CqkOc4q9oUmW1yo/edit?usp=sharing"",""นครสวรรค์!J545"")"),0)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IFERROR(__xludf.DUMMYFUNCTION("IMPORTRANGE(""https://docs.google.com/spreadsheets/d/11923uPwbBZFjjGgGUA6NLw09EwE0CqkOc4q9oUmW1yo/edit?usp=sharing"",""นครสวรรค์!L545"")"),7275)</f>
        <v>7275</v>
      </c>
      <c r="M650" s="520"/>
      <c r="N650" s="537">
        <f ca="1">IFERROR(__xludf.DUMMYFUNCTION("IMPORTRANGE(""https://docs.google.com/spreadsheets/d/11923uPwbBZFjjGgGUA6NLw09EwE0CqkOc4q9oUmW1yo/edit?usp=sharing"",""นครสวรรค์!M545"")"),0)</f>
        <v>0</v>
      </c>
      <c r="O650" s="536">
        <f t="shared" ca="1" si="132"/>
        <v>0</v>
      </c>
      <c r="P650" s="536"/>
    </row>
    <row r="651" spans="1:16" ht="21.75" customHeight="1" x14ac:dyDescent="0.45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IFERROR(__xludf.DUMMYFUNCTION("IMPORTRANGE(""https://docs.google.com/spreadsheets/d/11923uPwbBZFjjGgGUA6NLw09EwE0CqkOc4q9oUmW1yo/edit?usp=sharing"",""นครสวรรค์!I546"")"),600)</f>
        <v>600</v>
      </c>
      <c r="J651" s="535">
        <f ca="1">J657+J660</f>
        <v>820</v>
      </c>
      <c r="K651" s="536">
        <f t="shared" ca="1" si="131"/>
        <v>136.66666666666666</v>
      </c>
      <c r="L651" s="521">
        <f ca="1">IFERROR(__xludf.DUMMYFUNCTION("IMPORTRANGE(""https://docs.google.com/spreadsheets/d/11923uPwbBZFjjGgGUA6NLw09EwE0CqkOc4q9oUmW1yo/edit?usp=sharing"",""นครสวรรค์!L546"")"),15000)</f>
        <v>15000</v>
      </c>
      <c r="M651" s="520"/>
      <c r="N651" s="537">
        <f ca="1">IFERROR(__xludf.DUMMYFUNCTION("IMPORTRANGE(""https://docs.google.com/spreadsheets/d/11923uPwbBZFjjGgGUA6NLw09EwE0CqkOc4q9oUmW1yo/edit?usp=sharing"",""นครสวรรค์!M546"")"),1600)</f>
        <v>1600</v>
      </c>
      <c r="O651" s="536">
        <f t="shared" ca="1" si="132"/>
        <v>10.666666666666666</v>
      </c>
      <c r="P651" s="536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IFERROR(__xludf.DUMMYFUNCTION("IMPORTRANGE(""https://docs.google.com/spreadsheets/d/11923uPwbBZFjjGgGUA6NLw09EwE0CqkOc4q9oUmW1yo/edit?usp=sharing"",""นครสวรรค์!J547"")"),34)</f>
        <v>34</v>
      </c>
      <c r="K652" s="536"/>
      <c r="L652" s="528"/>
      <c r="M652" s="520"/>
      <c r="N652" s="528"/>
      <c r="O652" s="518"/>
      <c r="P652" s="51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IFERROR(__xludf.DUMMYFUNCTION("IMPORTRANGE(""https://docs.google.com/spreadsheets/d/11923uPwbBZFjjGgGUA6NLw09EwE0CqkOc4q9oUmW1yo/edit?usp=sharing"",""นครสวรรค์!J548"")"),820)</f>
        <v>820</v>
      </c>
      <c r="K653" s="536"/>
      <c r="L653" s="528"/>
      <c r="M653" s="520"/>
      <c r="N653" s="528"/>
      <c r="O653" s="518"/>
      <c r="P653" s="51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IFERROR(__xludf.DUMMYFUNCTION("IMPORTRANGE(""https://docs.google.com/spreadsheets/d/11923uPwbBZFjjGgGUA6NLw09EwE0CqkOc4q9oUmW1yo/edit?usp=sharing"",""นครสวรรค์!J550"")"),38)</f>
        <v>38</v>
      </c>
      <c r="K655" s="536"/>
      <c r="L655" s="528"/>
      <c r="M655" s="520"/>
      <c r="N655" s="528"/>
      <c r="O655" s="518"/>
      <c r="P655" s="51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IFERROR(__xludf.DUMMYFUNCTION("IMPORTRANGE(""https://docs.google.com/spreadsheets/d/11923uPwbBZFjjGgGUA6NLw09EwE0CqkOc4q9oUmW1yo/edit?usp=sharing"",""นครสวรรค์!J551"")"),40)</f>
        <v>40</v>
      </c>
      <c r="K656" s="536"/>
      <c r="L656" s="528"/>
      <c r="M656" s="520"/>
      <c r="N656" s="528"/>
      <c r="O656" s="518"/>
      <c r="P656" s="51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IFERROR(__xludf.DUMMYFUNCTION("IMPORTRANGE(""https://docs.google.com/spreadsheets/d/11923uPwbBZFjjGgGUA6NLw09EwE0CqkOc4q9oUmW1yo/edit?usp=sharing"",""นครสวรรค์!J552"")"),820)</f>
        <v>820</v>
      </c>
      <c r="K657" s="536"/>
      <c r="L657" s="528"/>
      <c r="M657" s="520"/>
      <c r="N657" s="528"/>
      <c r="O657" s="518"/>
      <c r="P657" s="51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IFERROR(__xludf.DUMMYFUNCTION("IMPORTRANGE(""https://docs.google.com/spreadsheets/d/11923uPwbBZFjjGgGUA6NLw09EwE0CqkOc4q9oUmW1yo/edit?usp=sharing"",""นครสวรรค์!J553"")"),0)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IFERROR(__xludf.DUMMYFUNCTION("IMPORTRANGE(""https://docs.google.com/spreadsheets/d/11923uPwbBZFjjGgGUA6NLw09EwE0CqkOc4q9oUmW1yo/edit?usp=sharing"",""นครสวรรค์!J554"")"),0)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IFERROR(__xludf.DUMMYFUNCTION("IMPORTRANGE(""https://docs.google.com/spreadsheets/d/11923uPwbBZFjjGgGUA6NLw09EwE0CqkOc4q9oUmW1yo/edit?usp=sharing"",""นครสวรรค์!J555"")"),0)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5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IFERROR(__xludf.DUMMYFUNCTION("IMPORTRANGE(""https://docs.google.com/spreadsheets/d/11923uPwbBZFjjGgGUA6NLw09EwE0CqkOc4q9oUmW1yo/edit?usp=sharing"",""นครสวรรค์!J556"")"),43)</f>
        <v>43</v>
      </c>
      <c r="K661" s="536"/>
      <c r="L661" s="521">
        <f ca="1">IFERROR(__xludf.DUMMYFUNCTION("IMPORTRANGE(""https://docs.google.com/spreadsheets/d/11923uPwbBZFjjGgGUA6NLw09EwE0CqkOc4q9oUmW1yo/edit?usp=sharing"",""นครสวรรค์!L556"")"),103400)</f>
        <v>103400</v>
      </c>
      <c r="M661" s="520"/>
      <c r="N661" s="537">
        <f ca="1">IFERROR(__xludf.DUMMYFUNCTION("IMPORTRANGE(""https://docs.google.com/spreadsheets/d/11923uPwbBZFjjGgGUA6NLw09EwE0CqkOc4q9oUmW1yo/edit?usp=sharing"",""นครสวรรค์!M556"")"),17850)</f>
        <v>17850</v>
      </c>
      <c r="O661" s="536">
        <f ca="1">IF(L661&gt;0,N661*100/L661,0)</f>
        <v>17.263056092843328</v>
      </c>
      <c r="P661" s="536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IFERROR(__xludf.DUMMYFUNCTION("IMPORTRANGE(""https://docs.google.com/spreadsheets/d/11923uPwbBZFjjGgGUA6NLw09EwE0CqkOc4q9oUmW1yo/edit?usp=sharing"",""นครสวรรค์!J557"")"),47)</f>
        <v>47</v>
      </c>
      <c r="K662" s="536"/>
      <c r="L662" s="528"/>
      <c r="M662" s="520"/>
      <c r="N662" s="528"/>
      <c r="O662" s="518"/>
      <c r="P662" s="51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IFERROR(__xludf.DUMMYFUNCTION("IMPORTRANGE(""https://docs.google.com/spreadsheets/d/11923uPwbBZFjjGgGUA6NLw09EwE0CqkOc4q9oUmW1yo/edit?usp=sharing"",""นครสวรรค์!I558"")"),2585)</f>
        <v>2585</v>
      </c>
      <c r="J663" s="535">
        <f ca="1">IFERROR(__xludf.DUMMYFUNCTION("IMPORTRANGE(""https://docs.google.com/spreadsheets/d/11923uPwbBZFjjGgGUA6NLw09EwE0CqkOc4q9oUmW1yo/edit?usp=sharing"",""นครสวรรค์!J558"")"),860.17)</f>
        <v>860.17</v>
      </c>
      <c r="K663" s="536">
        <f ca="1">IF(I663&gt;0,J663*100/I663,0)</f>
        <v>33.27543520309478</v>
      </c>
      <c r="L663" s="528"/>
      <c r="M663" s="520"/>
      <c r="N663" s="528"/>
      <c r="O663" s="518"/>
      <c r="P663" s="518"/>
    </row>
    <row r="664" spans="1:16" ht="21.75" customHeight="1" x14ac:dyDescent="0.45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IFERROR(__xludf.DUMMYFUNCTION("IMPORTRANGE(""https://docs.google.com/spreadsheets/d/11923uPwbBZFjjGgGUA6NLw09EwE0CqkOc4q9oUmW1yo/edit?usp=sharing"",""นครสวรรค์!I560"")"),40)</f>
        <v>40</v>
      </c>
      <c r="J665" s="535">
        <f ca="1">IFERROR(__xludf.DUMMYFUNCTION("IMPORTRANGE(""https://docs.google.com/spreadsheets/d/11923uPwbBZFjjGgGUA6NLw09EwE0CqkOc4q9oUmW1yo/edit?usp=sharing"",""นครสวรรค์!J560"")"),0)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IFERROR(__xludf.DUMMYFUNCTION("IMPORTRANGE(""https://docs.google.com/spreadsheets/d/11923uPwbBZFjjGgGUA6NLw09EwE0CqkOc4q9oUmW1yo/edit?usp=sharing"",""นครสวรรค์!L560"")"),4800)</f>
        <v>4800</v>
      </c>
      <c r="M665" s="520"/>
      <c r="N665" s="537">
        <f ca="1">IFERROR(__xludf.DUMMYFUNCTION("IMPORTRANGE(""https://docs.google.com/spreadsheets/d/11923uPwbBZFjjGgGUA6NLw09EwE0CqkOc4q9oUmW1yo/edit?usp=sharing"",""นครสวรรค์!M560"")"),0)</f>
        <v>0</v>
      </c>
      <c r="O665" s="536">
        <f ca="1">IF(L665&gt;0,N665*100/L665,0)</f>
        <v>0</v>
      </c>
      <c r="P665" s="536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IFERROR(__xludf.DUMMYFUNCTION("IMPORTRANGE(""https://docs.google.com/spreadsheets/d/11923uPwbBZFjjGgGUA6NLw09EwE0CqkOc4q9oUmW1yo/edit?usp=sharing"",""นครสวรรค์!J561"")"),0)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IFERROR(__xludf.DUMMYFUNCTION("IMPORTRANGE(""https://docs.google.com/spreadsheets/d/11923uPwbBZFjjGgGUA6NLw09EwE0CqkOc4q9oUmW1yo/edit?usp=sharing"",""นครสวรรค์!J562"")"),0)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IFERROR(__xludf.DUMMYFUNCTION("IMPORTRANGE(""https://docs.google.com/spreadsheets/d/11923uPwbBZFjjGgGUA6NLw09EwE0CqkOc4q9oUmW1yo/edit?usp=sharing"",""นครสวรรค์!I563"")"),0)</f>
        <v>0</v>
      </c>
      <c r="J668" s="535">
        <f ca="1">IFERROR(__xludf.DUMMYFUNCTION("IMPORTRANGE(""https://docs.google.com/spreadsheets/d/11923uPwbBZFjjGgGUA6NLw09EwE0CqkOc4q9oUmW1yo/edit?usp=sharing"",""นครสวรรค์!J563"")"),0)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IFERROR(__xludf.DUMMYFUNCTION("IMPORTRANGE(""https://docs.google.com/spreadsheets/d/11923uPwbBZFjjGgGUA6NLw09EwE0CqkOc4q9oUmW1yo/edit?usp=sharing"",""นครสวรรค์!L563"")"),0)</f>
        <v>0</v>
      </c>
      <c r="M668" s="520"/>
      <c r="N668" s="537">
        <f ca="1">IFERROR(__xludf.DUMMYFUNCTION("IMPORTRANGE(""https://docs.google.com/spreadsheets/d/11923uPwbBZFjjGgGUA6NLw09EwE0CqkOc4q9oUmW1yo/edit?usp=sharing"",""นครสวรรค์!M563"")"),0)</f>
        <v>0</v>
      </c>
      <c r="O668" s="536">
        <f ca="1">IF(L668&gt;0,N668*100/L668,0)</f>
        <v>0</v>
      </c>
      <c r="P668" s="536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IFERROR(__xludf.DUMMYFUNCTION("IMPORTRANGE(""https://docs.google.com/spreadsheets/d/11923uPwbBZFjjGgGUA6NLw09EwE0CqkOc4q9oUmW1yo/edit?usp=sharing"",""นครสวรรค์!J564"")"),0)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IFERROR(__xludf.DUMMYFUNCTION("IMPORTRANGE(""https://docs.google.com/spreadsheets/d/11923uPwbBZFjjGgGUA6NLw09EwE0CqkOc4q9oUmW1yo/edit?usp=sharing"",""นครสวรรค์!J565"")"),0)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5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IFERROR(__xludf.DUMMYFUNCTION("IMPORTRANGE(""https://docs.google.com/spreadsheets/d/11923uPwbBZFjjGgGUA6NLw09EwE0CqkOc4q9oUmW1yo/edit?usp=sharing"",""นครสวรรค์!I566"")"),0)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IFERROR(__xludf.DUMMYFUNCTION("IMPORTRANGE(""https://docs.google.com/spreadsheets/d/11923uPwbBZFjjGgGUA6NLw09EwE0CqkOc4q9oUmW1yo/edit?usp=sharing"",""นครสวรรค์!L566"")"),0)</f>
        <v>0</v>
      </c>
      <c r="M671" s="520"/>
      <c r="N671" s="537">
        <f ca="1">IFERROR(__xludf.DUMMYFUNCTION("IMPORTRANGE(""https://docs.google.com/spreadsheets/d/11923uPwbBZFjjGgGUA6NLw09EwE0CqkOc4q9oUmW1yo/edit?usp=sharing"",""นครสวรรค์!M566"")"),0)</f>
        <v>0</v>
      </c>
      <c r="O671" s="536">
        <f ca="1">IF(L671&gt;0,N671*100/L671,0)</f>
        <v>0</v>
      </c>
      <c r="P671" s="536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IFERROR(__xludf.DUMMYFUNCTION("IMPORTRANGE(""https://docs.google.com/spreadsheets/d/11923uPwbBZFjjGgGUA6NLw09EwE0CqkOc4q9oUmW1yo/edit?usp=sharing"",""นครสวรรค์!J567"")"),0)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IFERROR(__xludf.DUMMYFUNCTION("IMPORTRANGE(""https://docs.google.com/spreadsheets/d/11923uPwbBZFjjGgGUA6NLw09EwE0CqkOc4q9oUmW1yo/edit?usp=sharing"",""นครสวรรค์!J568"")"),0)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IFERROR(__xludf.DUMMYFUNCTION("IMPORTRANGE(""https://docs.google.com/spreadsheets/d/11923uPwbBZFjjGgGUA6NLw09EwE0CqkOc4q9oUmW1yo/edit?usp=sharing"",""นครสวรรค์!J569"")"),0)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IFERROR(__xludf.DUMMYFUNCTION("IMPORTRANGE(""https://docs.google.com/spreadsheets/d/11923uPwbBZFjjGgGUA6NLw09EwE0CqkOc4q9oUmW1yo/edit?usp=sharing"",""นครสวรรค์!J570"")"),0)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IFERROR(__xludf.DUMMYFUNCTION("IMPORTRANGE(""https://docs.google.com/spreadsheets/d/11923uPwbBZFjjGgGUA6NLw09EwE0CqkOc4q9oUmW1yo/edit?usp=sharing"",""นครสวรรค์!J571"")"),0)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5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IFERROR(__xludf.DUMMYFUNCTION("IMPORTRANGE(""https://docs.google.com/spreadsheets/d/11923uPwbBZFjjGgGUA6NLw09EwE0CqkOc4q9oUmW1yo/edit?usp=sharing"",""นครสวรรค์!J572"")"),0)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78" customWidth="1"/>
    <col min="8" max="8" width="10.81640625" customWidth="1"/>
    <col min="9" max="10" width="15.81640625" customWidth="1"/>
    <col min="11" max="11" width="10.1796875" customWidth="1"/>
    <col min="12" max="12" width="19.36328125" bestFit="1" customWidth="1"/>
    <col min="13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35">
      <c r="A2" s="577" t="s">
        <v>270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3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12930769</v>
      </c>
      <c r="M8" s="23">
        <f t="shared" ca="1" si="0"/>
        <v>9600744</v>
      </c>
      <c r="N8" s="23">
        <f t="shared" ca="1" si="0"/>
        <v>9593392.5399999991</v>
      </c>
      <c r="O8" s="22">
        <f t="shared" ref="O8:O16" ca="1" si="1">IF(L8&gt;0,N8*100/L8,0)</f>
        <v>74.190425488228883</v>
      </c>
      <c r="P8" s="22">
        <f t="shared" ref="P8:P16" ca="1" si="2">IF(M8&gt;0,N8*100/M8,0)</f>
        <v>99.923428225979137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12930769</v>
      </c>
      <c r="M10" s="30">
        <f t="shared" ca="1" si="4"/>
        <v>9600744</v>
      </c>
      <c r="N10" s="30">
        <f t="shared" ca="1" si="4"/>
        <v>9593392.5399999991</v>
      </c>
      <c r="O10" s="29">
        <f t="shared" ca="1" si="1"/>
        <v>74.190425488228883</v>
      </c>
      <c r="P10" s="29">
        <f t="shared" ca="1" si="2"/>
        <v>99.923428225979137</v>
      </c>
    </row>
    <row r="11" spans="1:16" ht="21.75" customHeight="1" x14ac:dyDescent="0.45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6440169</v>
      </c>
      <c r="M12" s="39">
        <f t="shared" ca="1" si="6"/>
        <v>3110144</v>
      </c>
      <c r="N12" s="39">
        <f t="shared" ca="1" si="6"/>
        <v>3102792.54</v>
      </c>
      <c r="O12" s="39">
        <f t="shared" ca="1" si="1"/>
        <v>48.178744067119979</v>
      </c>
      <c r="P12" s="39">
        <f t="shared" ca="1" si="2"/>
        <v>99.763629593999511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1874000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4566169</v>
      </c>
      <c r="M14" s="39">
        <f t="shared" si="8"/>
        <v>0</v>
      </c>
      <c r="N14" s="39">
        <f t="shared" ca="1" si="8"/>
        <v>873473</v>
      </c>
      <c r="O14" s="39">
        <f t="shared" ca="1" si="1"/>
        <v>19.129230652654336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6490600</v>
      </c>
      <c r="M16" s="39">
        <f t="shared" ca="1" si="10"/>
        <v>6490600</v>
      </c>
      <c r="N16" s="39">
        <f t="shared" ca="1" si="10"/>
        <v>6490600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10150675</v>
      </c>
      <c r="M18" s="23">
        <f t="shared" ca="1" si="11"/>
        <v>9600744</v>
      </c>
      <c r="N18" s="23">
        <f t="shared" ca="1" si="11"/>
        <v>8719919.5399999991</v>
      </c>
      <c r="O18" s="22">
        <f t="shared" ref="O18:O20" ca="1" si="12">IF(L18&gt;0,N18*100/L18,0)</f>
        <v>85.904824457486811</v>
      </c>
      <c r="P18" s="22">
        <f t="shared" ref="P18:P26" ca="1" si="13">IF(M18&gt;0,N18*100/M18,0)</f>
        <v>90.825456235475073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10150675</v>
      </c>
      <c r="M20" s="30">
        <f t="shared" ca="1" si="15"/>
        <v>9600744</v>
      </c>
      <c r="N20" s="30">
        <f t="shared" ca="1" si="15"/>
        <v>8719919.5399999991</v>
      </c>
      <c r="O20" s="29">
        <f t="shared" ca="1" si="12"/>
        <v>85.904824457486811</v>
      </c>
      <c r="P20" s="29">
        <f t="shared" ca="1" si="13"/>
        <v>90.825456235475073</v>
      </c>
    </row>
    <row r="21" spans="1:16" ht="21.75" customHeight="1" x14ac:dyDescent="0.45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3660075</v>
      </c>
      <c r="M22" s="42">
        <f t="shared" ca="1" si="18"/>
        <v>3110144</v>
      </c>
      <c r="N22" s="39">
        <f t="shared" ca="1" si="18"/>
        <v>2229319.54</v>
      </c>
      <c r="O22" s="39">
        <f t="shared" ca="1" si="17"/>
        <v>60.909121807613232</v>
      </c>
      <c r="P22" s="39">
        <f t="shared" ca="1" si="13"/>
        <v>71.678981423368185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1874000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1786075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6490600</v>
      </c>
      <c r="M26" s="50">
        <f t="shared" ca="1" si="22"/>
        <v>6490600</v>
      </c>
      <c r="N26" s="50">
        <f t="shared" ca="1" si="22"/>
        <v>6490600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2780094</v>
      </c>
      <c r="M28" s="23">
        <f t="shared" si="23"/>
        <v>0</v>
      </c>
      <c r="N28" s="23">
        <f t="shared" ca="1" si="23"/>
        <v>873473</v>
      </c>
      <c r="O28" s="22">
        <f t="shared" ref="O28:O30" ca="1" si="24">IF(L28&gt;0,N28*100/L28,0)</f>
        <v>31.418829723023755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2780094</v>
      </c>
      <c r="M30" s="30">
        <f t="shared" si="27"/>
        <v>0</v>
      </c>
      <c r="N30" s="30">
        <f t="shared" ca="1" si="27"/>
        <v>873473</v>
      </c>
      <c r="O30" s="29">
        <f t="shared" ca="1" si="24"/>
        <v>31.418829723023755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2780094</v>
      </c>
      <c r="M32" s="39">
        <f t="shared" si="30"/>
        <v>0</v>
      </c>
      <c r="N32" s="39">
        <f t="shared" ca="1" si="30"/>
        <v>873473</v>
      </c>
      <c r="O32" s="39">
        <f t="shared" ca="1" si="29"/>
        <v>31.418829723023755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2780094</v>
      </c>
      <c r="M34" s="39">
        <f t="shared" si="32"/>
        <v>0</v>
      </c>
      <c r="N34" s="39">
        <f t="shared" ca="1" si="32"/>
        <v>873473</v>
      </c>
      <c r="O34" s="39">
        <f t="shared" ca="1" si="29"/>
        <v>31.418829723023755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10150675</v>
      </c>
      <c r="M37" s="55">
        <f t="shared" ca="1" si="33"/>
        <v>9600744</v>
      </c>
      <c r="N37" s="55">
        <f t="shared" ca="1" si="33"/>
        <v>8719919.540000001</v>
      </c>
      <c r="O37" s="56">
        <f t="shared" ca="1" si="29"/>
        <v>85.904824457486825</v>
      </c>
      <c r="P37" s="56">
        <f t="shared" ca="1" si="25"/>
        <v>90.825456235475102</v>
      </c>
    </row>
    <row r="38" spans="1:16" ht="21.75" customHeight="1" x14ac:dyDescent="0.45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6740500</v>
      </c>
      <c r="M41" s="79">
        <f t="shared" ca="1" si="34"/>
        <v>6555400</v>
      </c>
      <c r="N41" s="79">
        <f t="shared" ca="1" si="34"/>
        <v>6451473.1200000001</v>
      </c>
      <c r="O41" s="78">
        <f t="shared" ref="O41:O43" ca="1" si="35">IF(L41&gt;0,N41*100/L41,0)</f>
        <v>95.712085453601361</v>
      </c>
      <c r="P41" s="78">
        <f t="shared" ref="P41:P43" ca="1" si="36">IF(M41&gt;0,N41*100/M41,0)</f>
        <v>98.41463709308357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6740500</v>
      </c>
      <c r="M43" s="79">
        <f t="shared" ca="1" si="38"/>
        <v>6555400</v>
      </c>
      <c r="N43" s="79">
        <f t="shared" ca="1" si="38"/>
        <v>6451473.1200000001</v>
      </c>
      <c r="O43" s="78">
        <f t="shared" ca="1" si="35"/>
        <v>95.712085453601361</v>
      </c>
      <c r="P43" s="78">
        <f t="shared" ca="1" si="36"/>
        <v>98.41463709308357</v>
      </c>
    </row>
    <row r="44" spans="1:16" ht="21.75" customHeight="1" x14ac:dyDescent="0.45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740500</v>
      </c>
      <c r="M45" s="50">
        <f ca="1">IFERROR(__xludf.DUMMYFUNCTION("IMPORTRANGE(""https://docs.google.com/spreadsheets/d/1Yj_ptqi66GCucihVvJfMjLAmec39IyEx_6qawtMGysU/edit?usp=sharing"",""สบก!Q25"")"),555400)</f>
        <v>555400</v>
      </c>
      <c r="N45" s="50">
        <f ca="1">IFERROR(__xludf.DUMMYFUNCTION("IMPORTRANGE(""https://docs.google.com/spreadsheets/d/1Yj_ptqi66GCucihVvJfMjLAmec39IyEx_6qawtMGysU/edit?usp=sharing"",""สบก!R25"")"),451473.12)</f>
        <v>451473.12</v>
      </c>
      <c r="O45" s="39">
        <f ca="1">IF(L45&gt;0,N45*100/L45,0)</f>
        <v>60.968686022957463</v>
      </c>
      <c r="P45" s="39">
        <f ca="1">IF(M45&gt;0,N45*100/M45,0)</f>
        <v>81.287922218221098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IFERROR(__xludf.DUMMYFUNCTION("IMPORTRANGE(""https://docs.google.com/spreadsheets/d/1Yj_ptqi66GCucihVvJfMjLAmec39IyEx_6qawtMGysU/edit?usp=sharing"",""สบก!M25"")"),740500)</f>
        <v>740500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IFERROR(__xludf.DUMMYFUNCTION("IMPORTRANGE(""https://docs.google.com/spreadsheets/d/1Yj_ptqi66GCucihVvJfMjLAmec39IyEx_6qawtMGysU/edit?usp=sharing"",""สบก!N25"")"),0)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IFERROR(__xludf.DUMMYFUNCTION("IMPORTRANGE(""https://docs.google.com/spreadsheets/d/1Yj_ptqi66GCucihVvJfMjLAmec39IyEx_6qawtMGysU/edit?usp=sharing"",""สบก!O25"")"),6000000)</f>
        <v>6000000</v>
      </c>
      <c r="M49" s="50">
        <f ca="1">L49</f>
        <v>6000000</v>
      </c>
      <c r="N49" s="50">
        <f ca="1">IFERROR(__xludf.DUMMYFUNCTION("IMPORTRANGE(""https://docs.google.com/spreadsheets/d/1Yj_ptqi66GCucihVvJfMjLAmec39IyEx_6qawtMGysU/edit?usp=sharing"",""สบก!S25"")"),6000000)</f>
        <v>6000000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407139</v>
      </c>
      <c r="N53" s="121">
        <f t="shared" ca="1" si="39"/>
        <v>364238</v>
      </c>
      <c r="O53" s="120">
        <f t="shared" ref="O53:O55" ca="1" si="40">IF(L53&gt;0,N53*100/L53,0)</f>
        <v>91.0595</v>
      </c>
      <c r="P53" s="120">
        <f t="shared" ref="P53:P55" ca="1" si="41">IF(M53&gt;0,N53*100/M53,0)</f>
        <v>89.462812454714481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407139</v>
      </c>
      <c r="N55" s="121">
        <f t="shared" ca="1" si="43"/>
        <v>364238</v>
      </c>
      <c r="O55" s="120">
        <f t="shared" ca="1" si="40"/>
        <v>91.0595</v>
      </c>
      <c r="P55" s="120">
        <f t="shared" ca="1" si="41"/>
        <v>89.462812454714481</v>
      </c>
    </row>
    <row r="56" spans="1:16" ht="21.75" customHeight="1" x14ac:dyDescent="0.45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IFERROR(__xludf.DUMMYFUNCTION("IMPORTRANGE(""https://docs.google.com/spreadsheets/d/1Yj_ptqi66GCucihVvJfMjLAmec39IyEx_6qawtMGysU/edit?usp=sharing"",""สบก!Z25"")"),407139)</f>
        <v>407139</v>
      </c>
      <c r="N57" s="50">
        <f ca="1">IFERROR(__xludf.DUMMYFUNCTION("IMPORTRANGE(""https://docs.google.com/spreadsheets/d/1Yj_ptqi66GCucihVvJfMjLAmec39IyEx_6qawtMGysU/edit?usp=sharing"",""สบก!AA25"")"),364238)</f>
        <v>364238</v>
      </c>
      <c r="O57" s="39">
        <f ca="1">IF(L57&gt;0,N57*100/L57,0)</f>
        <v>91.0595</v>
      </c>
      <c r="P57" s="39">
        <f ca="1">IF(M57&gt;0,N57*100/M57,0)</f>
        <v>89.462812454714481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IFERROR(__xludf.DUMMYFUNCTION("IMPORTRANGE(""https://docs.google.com/spreadsheets/d/1Yj_ptqi66GCucihVvJfMjLAmec39IyEx_6qawtMGysU/edit?usp=sharing"",""สบก!V25"")"),400000)</f>
        <v>400000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IFERROR(__xludf.DUMMYFUNCTION("IMPORTRANGE(""https://docs.google.com/spreadsheets/d/1Yj_ptqi66GCucihVvJfMjLAmec39IyEx_6qawtMGysU/edit?usp=sharing"",""สบก!W25"")"),0)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IFERROR(__xludf.DUMMYFUNCTION("IMPORTRANGE(""https://docs.google.com/spreadsheets/d/1Yj_ptqi66GCucihVvJfMjLAmec39IyEx_6qawtMGysU/edit?usp=sharing"",""สบก!X25"")"),0)</f>
        <v>0</v>
      </c>
      <c r="M61" s="50"/>
      <c r="N61" s="50">
        <f ca="1">IFERROR(__xludf.DUMMYFUNCTION("IMPORTRANGE(""https://docs.google.com/spreadsheets/d/1Yj_ptqi66GCucihVvJfMjLAmec39IyEx_6qawtMGysU/edit?usp=sharing"",""สบก!AB25"")"),0)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IFERROR(__xludf.DUMMYFUNCTION("IMPORTRANGE(""https://docs.google.com/spreadsheets/d/11923uPwbBZFjjGgGUA6NLw09EwE0CqkOc4q9oUmW1yo/edit?usp=sharing"",""น่าน!I9"")"),1)</f>
        <v>1</v>
      </c>
      <c r="J64" s="142">
        <f ca="1">IFERROR(__xludf.DUMMYFUNCTION("IMPORTRANGE(""https://docs.google.com/spreadsheets/d/11923uPwbBZFjjGgGUA6NLw09EwE0CqkOc4q9oUmW1yo/edit?usp=sharing"",""น่าน!J9"")"),1)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IFERROR(__xludf.DUMMYFUNCTION("IMPORTRANGE(""https://docs.google.com/spreadsheets/d/11923uPwbBZFjjGgGUA6NLw09EwE0CqkOc4q9oUmW1yo/edit?usp=sharing"",""น่าน!I10"")"),63)</f>
        <v>63</v>
      </c>
      <c r="J65" s="142">
        <f ca="1">IFERROR(__xludf.DUMMYFUNCTION("IMPORTRANGE(""https://docs.google.com/spreadsheets/d/11923uPwbBZFjjGgGUA6NLw09EwE0CqkOc4q9oUmW1yo/edit?usp=sharing"",""น่าน!J10"")"),63)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937200</v>
      </c>
      <c r="M66" s="152">
        <f t="shared" ca="1" si="45"/>
        <v>864820</v>
      </c>
      <c r="N66" s="152">
        <f t="shared" ca="1" si="45"/>
        <v>677330.9</v>
      </c>
      <c r="O66" s="151">
        <f t="shared" ref="O66:O68" ca="1" si="46">IF(L66&gt;0,N66*100/L66,0)</f>
        <v>72.271756295347842</v>
      </c>
      <c r="P66" s="151">
        <f t="shared" ref="P66:P68" ca="1" si="47">IF(M66&gt;0,N66*100/M66,0)</f>
        <v>78.32044818574964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937200</v>
      </c>
      <c r="M68" s="88">
        <f t="shared" ca="1" si="49"/>
        <v>864820</v>
      </c>
      <c r="N68" s="88">
        <f t="shared" ca="1" si="49"/>
        <v>677330.9</v>
      </c>
      <c r="O68" s="156">
        <f t="shared" ca="1" si="46"/>
        <v>72.271756295347842</v>
      </c>
      <c r="P68" s="156">
        <f t="shared" ca="1" si="47"/>
        <v>78.32044818574964</v>
      </c>
    </row>
    <row r="69" spans="1:16" ht="21.75" customHeight="1" x14ac:dyDescent="0.45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553600</v>
      </c>
      <c r="M70" s="167">
        <f ca="1">IFERROR(__xludf.DUMMYFUNCTION("IMPORTRANGE(""https://docs.google.com/spreadsheets/d/1Yj_ptqi66GCucihVvJfMjLAmec39IyEx_6qawtMGysU/edit?usp=sharing"",""สบก!AI25"")"),481220)</f>
        <v>481220</v>
      </c>
      <c r="N70" s="168">
        <f ca="1">IFERROR(__xludf.DUMMYFUNCTION("IMPORTRANGE(""https://docs.google.com/spreadsheets/d/1Yj_ptqi66GCucihVvJfMjLAmec39IyEx_6qawtMGysU/edit?usp=sharing"",""สบก!AJ25"")"),293730.9)</f>
        <v>293730.90000000002</v>
      </c>
      <c r="O70" s="168">
        <f ca="1">IF(L70&gt;0,N70*100/L70,0)</f>
        <v>53.058327312138736</v>
      </c>
      <c r="P70" s="168">
        <f ca="1">IF(M70&gt;0,N70*100/M70,0)</f>
        <v>61.038797223723044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IFERROR(__xludf.DUMMYFUNCTION("IMPORTRANGE(""https://docs.google.com/spreadsheets/d/1Yj_ptqi66GCucihVvJfMjLAmec39IyEx_6qawtMGysU/edit?usp=sharing"",""สบก!AE25"")"),0)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IFERROR(__xludf.DUMMYFUNCTION("IMPORTRANGE(""https://docs.google.com/spreadsheets/d/1Yj_ptqi66GCucihVvJfMjLAmec39IyEx_6qawtMGysU/edit?usp=sharing"",""สบก!AF25"")"),553600)</f>
        <v>553600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IFERROR(__xludf.DUMMYFUNCTION("IMPORTRANGE(""https://docs.google.com/spreadsheets/d/1Yj_ptqi66GCucihVvJfMjLAmec39IyEx_6qawtMGysU/edit?usp=sharing"",""สบก!AG25"")"),383600)</f>
        <v>383600</v>
      </c>
      <c r="M74" s="50">
        <f ca="1">L74</f>
        <v>383600</v>
      </c>
      <c r="N74" s="50">
        <f ca="1">IFERROR(__xludf.DUMMYFUNCTION("IMPORTRANGE(""https://docs.google.com/spreadsheets/d/1Yj_ptqi66GCucihVvJfMjLAmec39IyEx_6qawtMGysU/edit?usp=sharing"",""สบก!AK25"")"),383600)</f>
        <v>383600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IFERROR(__xludf.DUMMYFUNCTION("IMPORTRANGE(""https://docs.google.com/spreadsheets/d/11923uPwbBZFjjGgGUA6NLw09EwE0CqkOc4q9oUmW1yo/edit?usp=sharing"",""น่าน!J16"")"),0)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IFERROR(__xludf.DUMMYFUNCTION("IMPORTRANGE(""https://docs.google.com/spreadsheets/d/11923uPwbBZFjjGgGUA6NLw09EwE0CqkOc4q9oUmW1yo/edit?usp=sharing"",""น่าน!J17"")"),1)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IFERROR(__xludf.DUMMYFUNCTION("IMPORTRANGE(""https://docs.google.com/spreadsheets/d/11923uPwbBZFjjGgGUA6NLw09EwE0CqkOc4q9oUmW1yo/edit?usp=sharing"",""น่าน!J18"")"),1)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IFERROR(__xludf.DUMMYFUNCTION("IMPORTRANGE(""https://docs.google.com/spreadsheets/d/11923uPwbBZFjjGgGUA6NLw09EwE0CqkOc4q9oUmW1yo/edit?usp=sharing"",""น่าน!J19"")"),1)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IFERROR(__xludf.DUMMYFUNCTION("IMPORTRANGE(""https://docs.google.com/spreadsheets/d/11923uPwbBZFjjGgGUA6NLw09EwE0CqkOc4q9oUmW1yo/edit?usp=sharing"",""น่าน!I20"")"),1)</f>
        <v>1</v>
      </c>
      <c r="J80" s="200">
        <f ca="1">IFERROR(__xludf.DUMMYFUNCTION("IMPORTRANGE(""https://docs.google.com/spreadsheets/d/11923uPwbBZFjjGgGUA6NLw09EwE0CqkOc4q9oUmW1yo/edit?usp=sharing"",""น่าน!J20"")"),1)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IFERROR(__xludf.DUMMYFUNCTION("IMPORTRANGE(""https://docs.google.com/spreadsheets/d/11923uPwbBZFjjGgGUA6NLw09EwE0CqkOc4q9oUmW1yo/edit?usp=sharing"",""น่าน!I21"")"),63)</f>
        <v>63</v>
      </c>
      <c r="J81" s="200">
        <f ca="1">IFERROR(__xludf.DUMMYFUNCTION("IMPORTRANGE(""https://docs.google.com/spreadsheets/d/11923uPwbBZFjjGgGUA6NLw09EwE0CqkOc4q9oUmW1yo/edit?usp=sharing"",""น่าน!J21"")"),63)</f>
        <v>63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IFERROR(__xludf.DUMMYFUNCTION("IMPORTRANGE(""https://docs.google.com/spreadsheets/d/11923uPwbBZFjjGgGUA6NLw09EwE0CqkOc4q9oUmW1yo/edit?usp=sharing"",""น่าน!I22"")"),0)</f>
        <v>0</v>
      </c>
      <c r="J82" s="203">
        <f ca="1">IFERROR(__xludf.DUMMYFUNCTION("IMPORTRANGE(""https://docs.google.com/spreadsheets/d/11923uPwbBZFjjGgGUA6NLw09EwE0CqkOc4q9oUmW1yo/edit?usp=sharing"",""น่าน!J22"")"),0)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IFERROR(__xludf.DUMMYFUNCTION("IMPORTRANGE(""https://docs.google.com/spreadsheets/d/11923uPwbBZFjjGgGUA6NLw09EwE0CqkOc4q9oUmW1yo/edit?usp=sharing"",""น่าน!I23"")"),0)</f>
        <v>0</v>
      </c>
      <c r="J83" s="203">
        <f ca="1">IFERROR(__xludf.DUMMYFUNCTION("IMPORTRANGE(""https://docs.google.com/spreadsheets/d/11923uPwbBZFjjGgGUA6NLw09EwE0CqkOc4q9oUmW1yo/edit?usp=sharing"",""น่าน!J23"")"),0)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IFERROR(__xludf.DUMMYFUNCTION("IMPORTRANGE(""https://docs.google.com/spreadsheets/d/11923uPwbBZFjjGgGUA6NLw09EwE0CqkOc4q9oUmW1yo/edit?usp=sharing"",""น่าน!I24"")"),0)</f>
        <v>0</v>
      </c>
      <c r="J84" s="188">
        <f ca="1">IFERROR(__xludf.DUMMYFUNCTION("IMPORTRANGE(""https://docs.google.com/spreadsheets/d/11923uPwbBZFjjGgGUA6NLw09EwE0CqkOc4q9oUmW1yo/edit?usp=sharing"",""น่าน!J24"")"),0)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IFERROR(__xludf.DUMMYFUNCTION("IMPORTRANGE(""https://docs.google.com/spreadsheets/d/11923uPwbBZFjjGgGUA6NLw09EwE0CqkOc4q9oUmW1yo/edit?usp=sharing"",""น่าน!I25"")"),0)</f>
        <v>0</v>
      </c>
      <c r="J85" s="188">
        <f ca="1">IFERROR(__xludf.DUMMYFUNCTION("IMPORTRANGE(""https://docs.google.com/spreadsheets/d/11923uPwbBZFjjGgGUA6NLw09EwE0CqkOc4q9oUmW1yo/edit?usp=sharing"",""น่าน!J25"")"),0)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IFERROR(__xludf.DUMMYFUNCTION("IMPORTRANGE(""https://docs.google.com/spreadsheets/d/11923uPwbBZFjjGgGUA6NLw09EwE0CqkOc4q9oUmW1yo/edit?usp=sharing"",""น่าน!I26"")"),1)</f>
        <v>1</v>
      </c>
      <c r="J86" s="203">
        <f ca="1">IFERROR(__xludf.DUMMYFUNCTION("IMPORTRANGE(""https://docs.google.com/spreadsheets/d/11923uPwbBZFjjGgGUA6NLw09EwE0CqkOc4q9oUmW1yo/edit?usp=sharing"",""น่าน!J26"")"),1)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IFERROR(__xludf.DUMMYFUNCTION("IMPORTRANGE(""https://docs.google.com/spreadsheets/d/11923uPwbBZFjjGgGUA6NLw09EwE0CqkOc4q9oUmW1yo/edit?usp=sharing"",""น่าน!I27"")"),63)</f>
        <v>63</v>
      </c>
      <c r="J87" s="203">
        <f ca="1">IFERROR(__xludf.DUMMYFUNCTION("IMPORTRANGE(""https://docs.google.com/spreadsheets/d/11923uPwbBZFjjGgGUA6NLw09EwE0CqkOc4q9oUmW1yo/edit?usp=sharing"",""น่าน!J27"")"),63)</f>
        <v>63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IFERROR(__xludf.DUMMYFUNCTION("IMPORTRANGE(""https://docs.google.com/spreadsheets/d/11923uPwbBZFjjGgGUA6NLw09EwE0CqkOc4q9oUmW1yo/edit?usp=sharing"",""น่าน!I28"")"),1)</f>
        <v>1</v>
      </c>
      <c r="J88" s="203">
        <f ca="1">IFERROR(__xludf.DUMMYFUNCTION("IMPORTRANGE(""https://docs.google.com/spreadsheets/d/11923uPwbBZFjjGgGUA6NLw09EwE0CqkOc4q9oUmW1yo/edit?usp=sharing"",""น่าน!J28"")"),0)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IFERROR(__xludf.DUMMYFUNCTION("IMPORTRANGE(""https://docs.google.com/spreadsheets/d/11923uPwbBZFjjGgGUA6NLw09EwE0CqkOc4q9oUmW1yo/edit?usp=sharing"",""น่าน!J29"")"),0)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IFERROR(__xludf.DUMMYFUNCTION("IMPORTRANGE(""https://docs.google.com/spreadsheets/d/11923uPwbBZFjjGgGUA6NLw09EwE0CqkOc4q9oUmW1yo/edit?usp=sharing"",""น่าน!J30"")"),0)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IFERROR(__xludf.DUMMYFUNCTION("IMPORTRANGE(""https://docs.google.com/spreadsheets/d/11923uPwbBZFjjGgGUA6NLw09EwE0CqkOc4q9oUmW1yo/edit?usp=sharing"",""น่าน!I32"")"),4)</f>
        <v>4</v>
      </c>
      <c r="J92" s="142">
        <f ca="1">IFERROR(__xludf.DUMMYFUNCTION("IMPORTRANGE(""https://docs.google.com/spreadsheets/d/11923uPwbBZFjjGgGUA6NLw09EwE0CqkOc4q9oUmW1yo/edit?usp=sharing"",""น่าน!J32"")"),4)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IFERROR(__xludf.DUMMYFUNCTION("IMPORTRANGE(""https://docs.google.com/spreadsheets/d/11923uPwbBZFjjGgGUA6NLw09EwE0CqkOc4q9oUmW1yo/edit?usp=sharing"",""น่าน!I33"")"),1)</f>
        <v>1</v>
      </c>
      <c r="J93" s="142">
        <f ca="1">IFERROR(__xludf.DUMMYFUNCTION("IMPORTRANGE(""https://docs.google.com/spreadsheets/d/11923uPwbBZFjjGgGUA6NLw09EwE0CqkOc4q9oUmW1yo/edit?usp=sharing"",""น่าน!J33"")"),1)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194055</v>
      </c>
      <c r="N94" s="152">
        <f t="shared" ca="1" si="52"/>
        <v>140767</v>
      </c>
      <c r="O94" s="151">
        <f t="shared" ref="O94:O96" ca="1" si="53">IF(L94&gt;0,N94*100/L94,0)</f>
        <v>65.748248482017743</v>
      </c>
      <c r="P94" s="151">
        <f t="shared" ref="P94:P96" ca="1" si="54">IF(M94&gt;0,N94*100/M94,0)</f>
        <v>72.539743887042334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214100</v>
      </c>
      <c r="M96" s="88">
        <f t="shared" ca="1" si="56"/>
        <v>194055</v>
      </c>
      <c r="N96" s="88">
        <f t="shared" ca="1" si="56"/>
        <v>140767</v>
      </c>
      <c r="O96" s="156">
        <f t="shared" ca="1" si="53"/>
        <v>65.748248482017743</v>
      </c>
      <c r="P96" s="156">
        <f t="shared" ca="1" si="54"/>
        <v>72.539743887042334</v>
      </c>
    </row>
    <row r="97" spans="1:16" ht="21.75" customHeight="1" x14ac:dyDescent="0.45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IFERROR(__xludf.DUMMYFUNCTION("IMPORTRANGE(""https://docs.google.com/spreadsheets/d/1Yj_ptqi66GCucihVvJfMjLAmec39IyEx_6qawtMGysU/edit?usp=sharing"",""สบก!AR25"")"),102055)</f>
        <v>102055</v>
      </c>
      <c r="N98" s="168">
        <f ca="1">IFERROR(__xludf.DUMMYFUNCTION("IMPORTRANGE(""https://docs.google.com/spreadsheets/d/1Yj_ptqi66GCucihVvJfMjLAmec39IyEx_6qawtMGysU/edit?usp=sharing"",""สบก!AS25"")"),48767)</f>
        <v>48767</v>
      </c>
      <c r="O98" s="168">
        <f ca="1">IF(L98&gt;0,N98*100/L98,0)</f>
        <v>39.940212940212938</v>
      </c>
      <c r="P98" s="168">
        <f ca="1">IF(M98&gt;0,N98*100/M98,0)</f>
        <v>47.785017882514332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IFERROR(__xludf.DUMMYFUNCTION("IMPORTRANGE(""https://docs.google.com/spreadsheets/d/1Yj_ptqi66GCucihVvJfMjLAmec39IyEx_6qawtMGysU/edit?usp=sharing"",""สบก!AN25"")"),0)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IFERROR(__xludf.DUMMYFUNCTION("IMPORTRANGE(""https://docs.google.com/spreadsheets/d/1Yj_ptqi66GCucihVvJfMjLAmec39IyEx_6qawtMGysU/edit?usp=sharing"",""สบก!AO25"")"),122100)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IFERROR(__xludf.DUMMYFUNCTION("IMPORTRANGE(""https://docs.google.com/spreadsheets/d/1Yj_ptqi66GCucihVvJfMjLAmec39IyEx_6qawtMGysU/edit?usp=sharing"",""สบก!AP25"")"),92000)</f>
        <v>92000</v>
      </c>
      <c r="M102" s="50">
        <f ca="1">L102</f>
        <v>92000</v>
      </c>
      <c r="N102" s="50">
        <f ca="1">IFERROR(__xludf.DUMMYFUNCTION("IMPORTRANGE(""https://docs.google.com/spreadsheets/d/1Yj_ptqi66GCucihVvJfMjLAmec39IyEx_6qawtMGysU/edit?usp=sharing"",""สบก!AT25"")"),92000)</f>
        <v>92000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IFERROR(__xludf.DUMMYFUNCTION("IMPORTRANGE(""https://docs.google.com/spreadsheets/d/11923uPwbBZFjjGgGUA6NLw09EwE0CqkOc4q9oUmW1yo/edit?usp=sharing"",""น่าน!J39"")"),0)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IFERROR(__xludf.DUMMYFUNCTION("IMPORTRANGE(""https://docs.google.com/spreadsheets/d/11923uPwbBZFjjGgGUA6NLw09EwE0CqkOc4q9oUmW1yo/edit?usp=sharing"",""น่าน!J40"")"),1)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IFERROR(__xludf.DUMMYFUNCTION("IMPORTRANGE(""https://docs.google.com/spreadsheets/d/11923uPwbBZFjjGgGUA6NLw09EwE0CqkOc4q9oUmW1yo/edit?usp=sharing"",""น่าน!J41"")"),1)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IFERROR(__xludf.DUMMYFUNCTION("IMPORTRANGE(""https://docs.google.com/spreadsheets/d/11923uPwbBZFjjGgGUA6NLw09EwE0CqkOc4q9oUmW1yo/edit?usp=sharing"",""น่าน!J42"")"),1)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IFERROR(__xludf.DUMMYFUNCTION("IMPORTRANGE(""https://docs.google.com/spreadsheets/d/11923uPwbBZFjjGgGUA6NLw09EwE0CqkOc4q9oUmW1yo/edit?usp=sharing"",""น่าน!I43"")"),1)</f>
        <v>1</v>
      </c>
      <c r="J108" s="203">
        <f ca="1">IFERROR(__xludf.DUMMYFUNCTION("IMPORTRANGE(""https://docs.google.com/spreadsheets/d/11923uPwbBZFjjGgGUA6NLw09EwE0CqkOc4q9oUmW1yo/edit?usp=sharing"",""น่าน!J43"")"),1)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IFERROR(__xludf.DUMMYFUNCTION("IMPORTRANGE(""https://docs.google.com/spreadsheets/d/11923uPwbBZFjjGgGUA6NLw09EwE0CqkOc4q9oUmW1yo/edit?usp=sharing"",""น่าน!I44"")"),4)</f>
        <v>4</v>
      </c>
      <c r="J109" s="203">
        <f ca="1">IFERROR(__xludf.DUMMYFUNCTION("IMPORTRANGE(""https://docs.google.com/spreadsheets/d/11923uPwbBZFjjGgGUA6NLw09EwE0CqkOc4q9oUmW1yo/edit?usp=sharing"",""น่าน!J44"")"),4)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IFERROR(__xludf.DUMMYFUNCTION("IMPORTRANGE(""https://docs.google.com/spreadsheets/d/11923uPwbBZFjjGgGUA6NLw09EwE0CqkOc4q9oUmW1yo/edit?usp=sharing"",""น่าน!I45"")"),4)</f>
        <v>4</v>
      </c>
      <c r="J110" s="203">
        <f ca="1">IFERROR(__xludf.DUMMYFUNCTION("IMPORTRANGE(""https://docs.google.com/spreadsheets/d/11923uPwbBZFjjGgGUA6NLw09EwE0CqkOc4q9oUmW1yo/edit?usp=sharing"",""น่าน!J45"")"),4)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IFERROR(__xludf.DUMMYFUNCTION("IMPORTRANGE(""https://docs.google.com/spreadsheets/d/11923uPwbBZFjjGgGUA6NLw09EwE0CqkOc4q9oUmW1yo/edit?usp=sharing"",""น่าน!I46"")"),4)</f>
        <v>4</v>
      </c>
      <c r="J111" s="203">
        <f ca="1">IFERROR(__xludf.DUMMYFUNCTION("IMPORTRANGE(""https://docs.google.com/spreadsheets/d/11923uPwbBZFjjGgGUA6NLw09EwE0CqkOc4q9oUmW1yo/edit?usp=sharing"",""น่าน!J46"")"),4)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IFERROR(__xludf.DUMMYFUNCTION("IMPORTRANGE(""https://docs.google.com/spreadsheets/d/11923uPwbBZFjjGgGUA6NLw09EwE0CqkOc4q9oUmW1yo/edit?usp=sharing"",""น่าน!I47"")"),4)</f>
        <v>4</v>
      </c>
      <c r="J112" s="203">
        <f ca="1">IFERROR(__xludf.DUMMYFUNCTION("IMPORTRANGE(""https://docs.google.com/spreadsheets/d/11923uPwbBZFjjGgGUA6NLw09EwE0CqkOc4q9oUmW1yo/edit?usp=sharing"",""น่าน!J47"")"),4)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IFERROR(__xludf.DUMMYFUNCTION("IMPORTRANGE(""https://docs.google.com/spreadsheets/d/11923uPwbBZFjjGgGUA6NLw09EwE0CqkOc4q9oUmW1yo/edit?usp=sharing"",""น่าน!I48"")"),1)</f>
        <v>1</v>
      </c>
      <c r="J113" s="203">
        <f ca="1">IFERROR(__xludf.DUMMYFUNCTION("IMPORTRANGE(""https://docs.google.com/spreadsheets/d/11923uPwbBZFjjGgGUA6NLw09EwE0CqkOc4q9oUmW1yo/edit?usp=sharing"",""น่าน!J48"")"),1)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IFERROR(__xludf.DUMMYFUNCTION("IMPORTRANGE(""https://docs.google.com/spreadsheets/d/11923uPwbBZFjjGgGUA6NLw09EwE0CqkOc4q9oUmW1yo/edit?usp=sharing"",""น่าน!J49"")"),0)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IFERROR(__xludf.DUMMYFUNCTION("IMPORTRANGE(""https://docs.google.com/spreadsheets/d/11923uPwbBZFjjGgGUA6NLw09EwE0CqkOc4q9oUmW1yo/edit?usp=sharing"",""น่าน!J50"")"),0)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IFERROR(__xludf.DUMMYFUNCTION("IMPORTRANGE(""https://docs.google.com/spreadsheets/d/11923uPwbBZFjjGgGUA6NLw09EwE0CqkOc4q9oUmW1yo/edit?usp=sharing"",""น่าน!I52"")"),0)</f>
        <v>0</v>
      </c>
      <c r="J117" s="142">
        <f ca="1">IFERROR(__xludf.DUMMYFUNCTION("IMPORTRANGE(""https://docs.google.com/spreadsheets/d/11923uPwbBZFjjGgGUA6NLw09EwE0CqkOc4q9oUmW1yo/edit?usp=sharing"",""น่าน!J52"")"),0)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IFERROR(__xludf.DUMMYFUNCTION("IMPORTRANGE(""https://docs.google.com/spreadsheets/d/1Yj_ptqi66GCucihVvJfMjLAmec39IyEx_6qawtMGysU/edit?usp=sharing"",""สบก!BA25"")"),0)</f>
        <v>0</v>
      </c>
      <c r="N122" s="168">
        <f ca="1">IFERROR(__xludf.DUMMYFUNCTION("IMPORTRANGE(""https://docs.google.com/spreadsheets/d/1Yj_ptqi66GCucihVvJfMjLAmec39IyEx_6qawtMGysU/edit?usp=sharing"",""สบก!BB25"")"),0)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IFERROR(__xludf.DUMMYFUNCTION("IMPORTRANGE(""https://docs.google.com/spreadsheets/d/1Yj_ptqi66GCucihVvJfMjLAmec39IyEx_6qawtMGysU/edit?usp=sharing"",""สบก!AW25"")"),0)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IFERROR(__xludf.DUMMYFUNCTION("IMPORTRANGE(""https://docs.google.com/spreadsheets/d/1Yj_ptqi66GCucihVvJfMjLAmec39IyEx_6qawtMGysU/edit?usp=sharing"",""สบก!AX25"")"),0)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IFERROR(__xludf.DUMMYFUNCTION("IMPORTRANGE(""https://docs.google.com/spreadsheets/d/1Yj_ptqi66GCucihVvJfMjLAmec39IyEx_6qawtMGysU/edit?usp=sharing"",""สบก!AY25"")"),0)</f>
        <v>0</v>
      </c>
      <c r="M126" s="50"/>
      <c r="N126" s="50">
        <f ca="1">IFERROR(__xludf.DUMMYFUNCTION("IMPORTRANGE(""https://docs.google.com/spreadsheets/d/1Yj_ptqi66GCucihVvJfMjLAmec39IyEx_6qawtMGysU/edit?usp=sharing"",""สบก!BC25"")"),0)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271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IFERROR(__xludf.DUMMYFUNCTION("IMPORTRANGE(""https://docs.google.com/spreadsheets/d/11923uPwbBZFjjGgGUA6NLw09EwE0CqkOc4q9oUmW1yo/edit?usp=sharing"",""น่าน!J58"")"),0)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IFERROR(__xludf.DUMMYFUNCTION("IMPORTRANGE(""https://docs.google.com/spreadsheets/d/11923uPwbBZFjjGgGUA6NLw09EwE0CqkOc4q9oUmW1yo/edit?usp=sharing"",""น่าน!J59"")"),0)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IFERROR(__xludf.DUMMYFUNCTION("IMPORTRANGE(""https://docs.google.com/spreadsheets/d/11923uPwbBZFjjGgGUA6NLw09EwE0CqkOc4q9oUmW1yo/edit?usp=sharing"",""น่าน!J60"")"),0)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IFERROR(__xludf.DUMMYFUNCTION("IMPORTRANGE(""https://docs.google.com/spreadsheets/d/11923uPwbBZFjjGgGUA6NLw09EwE0CqkOc4q9oUmW1yo/edit?usp=sharing"",""น่าน!J61"")"),0)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IFERROR(__xludf.DUMMYFUNCTION("IMPORTRANGE(""https://docs.google.com/spreadsheets/d/11923uPwbBZFjjGgGUA6NLw09EwE0CqkOc4q9oUmW1yo/edit?usp=sharing"",""น่าน!I62"")"),0)</f>
        <v>0</v>
      </c>
      <c r="J132" s="203">
        <f ca="1">IFERROR(__xludf.DUMMYFUNCTION("IMPORTRANGE(""https://docs.google.com/spreadsheets/d/11923uPwbBZFjjGgGUA6NLw09EwE0CqkOc4q9oUmW1yo/edit?usp=sharing"",""น่าน!J62"")"),0)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IFERROR(__xludf.DUMMYFUNCTION("IMPORTRANGE(""https://docs.google.com/spreadsheets/d/11923uPwbBZFjjGgGUA6NLw09EwE0CqkOc4q9oUmW1yo/edit?usp=sharing"",""น่าน!I63"")"),0)</f>
        <v>0</v>
      </c>
      <c r="J133" s="203">
        <f ca="1">IFERROR(__xludf.DUMMYFUNCTION("IMPORTRANGE(""https://docs.google.com/spreadsheets/d/11923uPwbBZFjjGgGUA6NLw09EwE0CqkOc4q9oUmW1yo/edit?usp=sharing"",""น่าน!J63"")"),0)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IFERROR(__xludf.DUMMYFUNCTION("IMPORTRANGE(""https://docs.google.com/spreadsheets/d/11923uPwbBZFjjGgGUA6NLw09EwE0CqkOc4q9oUmW1yo/edit?usp=sharing"",""น่าน!J64"")"),0)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IFERROR(__xludf.DUMMYFUNCTION("IMPORTRANGE(""https://docs.google.com/spreadsheets/d/11923uPwbBZFjjGgGUA6NLw09EwE0CqkOc4q9oUmW1yo/edit?usp=sharing"",""น่าน!J65"")"),0)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IFERROR(__xludf.DUMMYFUNCTION("IMPORTRANGE(""https://docs.google.com/spreadsheets/d/11923uPwbBZFjjGgGUA6NLw09EwE0CqkOc4q9oUmW1yo/edit?usp=sharing"",""น่าน!I68"")"),90)</f>
        <v>90</v>
      </c>
      <c r="J138" s="267">
        <f ca="1">IFERROR(__xludf.DUMMYFUNCTION("IMPORTRANGE(""https://docs.google.com/spreadsheets/d/11923uPwbBZFjjGgGUA6NLw09EwE0CqkOc4q9oUmW1yo/edit?usp=sharing"",""น่าน!J68"")"),90)</f>
        <v>90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815200</v>
      </c>
      <c r="M140" s="152">
        <f t="shared" ca="1" si="64"/>
        <v>790375</v>
      </c>
      <c r="N140" s="152">
        <f t="shared" ca="1" si="64"/>
        <v>478185.52</v>
      </c>
      <c r="O140" s="151">
        <f t="shared" ref="O140:O142" ca="1" si="65">IF(L140&gt;0,N140*100/L140,0)</f>
        <v>58.658675171736995</v>
      </c>
      <c r="P140" s="151">
        <f t="shared" ref="P140:P142" ca="1" si="66">IF(M140&gt;0,N140*100/M140,0)</f>
        <v>60.501093784595916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815200</v>
      </c>
      <c r="M142" s="88">
        <f t="shared" ca="1" si="68"/>
        <v>790375</v>
      </c>
      <c r="N142" s="88">
        <f t="shared" ca="1" si="68"/>
        <v>478185.52</v>
      </c>
      <c r="O142" s="156">
        <f t="shared" ca="1" si="65"/>
        <v>58.658675171736995</v>
      </c>
      <c r="P142" s="156">
        <f t="shared" ca="1" si="66"/>
        <v>60.501093784595916</v>
      </c>
    </row>
    <row r="143" spans="1:16" ht="21.75" customHeight="1" x14ac:dyDescent="0.45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815200</v>
      </c>
      <c r="M144" s="167">
        <f ca="1">IFERROR(__xludf.DUMMYFUNCTION("IMPORTRANGE(""https://docs.google.com/spreadsheets/d/1Yj_ptqi66GCucihVvJfMjLAmec39IyEx_6qawtMGysU/edit?usp=sharing"",""สบก!BJ25"")"),790375)</f>
        <v>790375</v>
      </c>
      <c r="N144" s="168">
        <f ca="1">IFERROR(__xludf.DUMMYFUNCTION("IMPORTRANGE(""https://docs.google.com/spreadsheets/d/1Yj_ptqi66GCucihVvJfMjLAmec39IyEx_6qawtMGysU/edit?usp=sharing"",""สบก!BK25"")"),478185.52)</f>
        <v>478185.52</v>
      </c>
      <c r="O144" s="168">
        <f ca="1">IF(L144&gt;0,N144*100/L144,0)</f>
        <v>58.658675171736995</v>
      </c>
      <c r="P144" s="168">
        <f ca="1">IF(M144&gt;0,N144*100/M144,0)</f>
        <v>60.501093784595916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IFERROR(__xludf.DUMMYFUNCTION("IMPORTRANGE(""https://docs.google.com/spreadsheets/d/1Yj_ptqi66GCucihVvJfMjLAmec39IyEx_6qawtMGysU/edit?usp=sharing"",""สบก!BF25"")"),315900)</f>
        <v>315900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IFERROR(__xludf.DUMMYFUNCTION("IMPORTRANGE(""https://docs.google.com/spreadsheets/d/1Yj_ptqi66GCucihVvJfMjLAmec39IyEx_6qawtMGysU/edit?usp=sharing"",""สบก!BG25"")"),499300)</f>
        <v>499300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IFERROR(__xludf.DUMMYFUNCTION("IMPORTRANGE(""https://docs.google.com/spreadsheets/d/1Yj_ptqi66GCucihVvJfMjLAmec39IyEx_6qawtMGysU/edit?usp=sharing"",""สบก!BH25"")"),0)</f>
        <v>0</v>
      </c>
      <c r="M148" s="50"/>
      <c r="N148" s="50">
        <f ca="1">IFERROR(__xludf.DUMMYFUNCTION("IMPORTRANGE(""https://docs.google.com/spreadsheets/d/1Yj_ptqi66GCucihVvJfMjLAmec39IyEx_6qawtMGysU/edit?usp=sharing"",""สบก!BL25"")"),0)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IFERROR(__xludf.DUMMYFUNCTION("IMPORTRANGE(""https://docs.google.com/spreadsheets/d/11923uPwbBZFjjGgGUA6NLw09EwE0CqkOc4q9oUmW1yo/edit?usp=sharing"",""น่าน!I74"")"),4)</f>
        <v>4</v>
      </c>
      <c r="J149" s="275">
        <f ca="1">IFERROR(__xludf.DUMMYFUNCTION("IMPORTRANGE(""https://docs.google.com/spreadsheets/d/11923uPwbBZFjjGgGUA6NLw09EwE0CqkOc4q9oUmW1yo/edit?usp=sharing"",""น่าน!J74"")"),2)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IFERROR(__xludf.DUMMYFUNCTION("IMPORTRANGE(""https://docs.google.com/spreadsheets/d/11923uPwbBZFjjGgGUA6NLw09EwE0CqkOc4q9oUmW1yo/edit?usp=sharing"",""น่าน!J79"")"),0)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IFERROR(__xludf.DUMMYFUNCTION("IMPORTRANGE(""https://docs.google.com/spreadsheets/d/11923uPwbBZFjjGgGUA6NLw09EwE0CqkOc4q9oUmW1yo/edit?usp=sharing"",""น่าน!J80"")"),1)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IFERROR(__xludf.DUMMYFUNCTION("IMPORTRANGE(""https://docs.google.com/spreadsheets/d/11923uPwbBZFjjGgGUA6NLw09EwE0CqkOc4q9oUmW1yo/edit?usp=sharing"",""น่าน!J81"")"),1)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IFERROR(__xludf.DUMMYFUNCTION("IMPORTRANGE(""https://docs.google.com/spreadsheets/d/11923uPwbBZFjjGgGUA6NLw09EwE0CqkOc4q9oUmW1yo/edit?usp=sharing"",""น่าน!J82"")"),1)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IFERROR(__xludf.DUMMYFUNCTION("IMPORTRANGE(""https://docs.google.com/spreadsheets/d/11923uPwbBZFjjGgGUA6NLw09EwE0CqkOc4q9oUmW1yo/edit?usp=sharing"",""น่าน!I83"")"),4)</f>
        <v>4</v>
      </c>
      <c r="J158" s="188">
        <f ca="1">IFERROR(__xludf.DUMMYFUNCTION("IMPORTRANGE(""https://docs.google.com/spreadsheets/d/11923uPwbBZFjjGgGUA6NLw09EwE0CqkOc4q9oUmW1yo/edit?usp=sharing"",""น่าน!J83"")"),2)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IFERROR(__xludf.DUMMYFUNCTION("IMPORTRANGE(""https://docs.google.com/spreadsheets/d/11923uPwbBZFjjGgGUA6NLw09EwE0CqkOc4q9oUmW1yo/edit?usp=sharing"",""น่าน!J84"")"),137)</f>
        <v>137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IFERROR(__xludf.DUMMYFUNCTION("IMPORTRANGE(""https://docs.google.com/spreadsheets/d/11923uPwbBZFjjGgGUA6NLw09EwE0CqkOc4q9oUmW1yo/edit?usp=sharing"",""น่าน!J85"")"),137)</f>
        <v>137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IFERROR(__xludf.DUMMYFUNCTION("IMPORTRANGE(""https://docs.google.com/spreadsheets/d/11923uPwbBZFjjGgGUA6NLw09EwE0CqkOc4q9oUmW1yo/edit?usp=sharing"",""น่าน!J86"")"),0)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IFERROR(__xludf.DUMMYFUNCTION("IMPORTRANGE(""https://docs.google.com/spreadsheets/d/11923uPwbBZFjjGgGUA6NLw09EwE0CqkOc4q9oUmW1yo/edit?usp=sharing"",""น่าน!J87"")"),0)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IFERROR(__xludf.DUMMYFUNCTION("IMPORTRANGE(""https://docs.google.com/spreadsheets/d/11923uPwbBZFjjGgGUA6NLw09EwE0CqkOc4q9oUmW1yo/edit?usp=sharing"",""น่าน!J88"")"),0)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IFERROR(__xludf.DUMMYFUNCTION("IMPORTRANGE(""https://docs.google.com/spreadsheets/d/11923uPwbBZFjjGgGUA6NLw09EwE0CqkOc4q9oUmW1yo/edit?usp=sharing"",""น่าน!I89"")"),4)</f>
        <v>4</v>
      </c>
      <c r="J164" s="284">
        <f ca="1">IFERROR(__xludf.DUMMYFUNCTION("IMPORTRANGE(""https://docs.google.com/spreadsheets/d/11923uPwbBZFjjGgGUA6NLw09EwE0CqkOc4q9oUmW1yo/edit?usp=sharing"",""น่าน!J89"")"),4)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IFERROR(__xludf.DUMMYFUNCTION("IMPORTRANGE(""https://docs.google.com/spreadsheets/d/11923uPwbBZFjjGgGUA6NLw09EwE0CqkOc4q9oUmW1yo/edit?usp=sharing"",""น่าน!J94"")"),0)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IFERROR(__xludf.DUMMYFUNCTION("IMPORTRANGE(""https://docs.google.com/spreadsheets/d/11923uPwbBZFjjGgGUA6NLw09EwE0CqkOc4q9oUmW1yo/edit?usp=sharing"",""น่าน!J95"")"),1)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IFERROR(__xludf.DUMMYFUNCTION("IMPORTRANGE(""https://docs.google.com/spreadsheets/d/11923uPwbBZFjjGgGUA6NLw09EwE0CqkOc4q9oUmW1yo/edit?usp=sharing"",""น่าน!J96"")"),1)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IFERROR(__xludf.DUMMYFUNCTION("IMPORTRANGE(""https://docs.google.com/spreadsheets/d/11923uPwbBZFjjGgGUA6NLw09EwE0CqkOc4q9oUmW1yo/edit?usp=sharing"",""น่าน!J97"")"),1)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IFERROR(__xludf.DUMMYFUNCTION("IMPORTRANGE(""https://docs.google.com/spreadsheets/d/11923uPwbBZFjjGgGUA6NLw09EwE0CqkOc4q9oUmW1yo/edit?usp=sharing"",""น่าน!I98"")"),4)</f>
        <v>4</v>
      </c>
      <c r="J173" s="188">
        <f ca="1">IFERROR(__xludf.DUMMYFUNCTION("IMPORTRANGE(""https://docs.google.com/spreadsheets/d/11923uPwbBZFjjGgGUA6NLw09EwE0CqkOc4q9oUmW1yo/edit?usp=sharing"",""น่าน!J98"")"),4)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IFERROR(__xludf.DUMMYFUNCTION("IMPORTRANGE(""https://docs.google.com/spreadsheets/d/11923uPwbBZFjjGgGUA6NLw09EwE0CqkOc4q9oUmW1yo/edit?usp=sharing"",""น่าน!J99"")"),0)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IFERROR(__xludf.DUMMYFUNCTION("IMPORTRANGE(""https://docs.google.com/spreadsheets/d/11923uPwbBZFjjGgGUA6NLw09EwE0CqkOc4q9oUmW1yo/edit?usp=sharing"",""น่าน!J100"")"),0)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IFERROR(__xludf.DUMMYFUNCTION("IMPORTRANGE(""https://docs.google.com/spreadsheets/d/11923uPwbBZFjjGgGUA6NLw09EwE0CqkOc4q9oUmW1yo/edit?usp=sharing"",""น่าน!I101"")"),0)</f>
        <v>0</v>
      </c>
      <c r="J176" s="284">
        <f ca="1">IFERROR(__xludf.DUMMYFUNCTION("IMPORTRANGE(""https://docs.google.com/spreadsheets/d/11923uPwbBZFjjGgGUA6NLw09EwE0CqkOc4q9oUmW1yo/edit?usp=sharing"",""น่าน!J101"")"),0)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IFERROR(__xludf.DUMMYFUNCTION("IMPORTRANGE(""https://docs.google.com/spreadsheets/d/11923uPwbBZFjjGgGUA6NLw09EwE0CqkOc4q9oUmW1yo/edit?usp=sharing"",""น่าน!J106"")"),0)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IFERROR(__xludf.DUMMYFUNCTION("IMPORTRANGE(""https://docs.google.com/spreadsheets/d/11923uPwbBZFjjGgGUA6NLw09EwE0CqkOc4q9oUmW1yo/edit?usp=sharing"",""น่าน!J107"")"),0)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IFERROR(__xludf.DUMMYFUNCTION("IMPORTRANGE(""https://docs.google.com/spreadsheets/d/11923uPwbBZFjjGgGUA6NLw09EwE0CqkOc4q9oUmW1yo/edit?usp=sharing"",""น่าน!J108"")"),0)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IFERROR(__xludf.DUMMYFUNCTION("IMPORTRANGE(""https://docs.google.com/spreadsheets/d/11923uPwbBZFjjGgGUA6NLw09EwE0CqkOc4q9oUmW1yo/edit?usp=sharing"",""น่าน!J109"")"),0)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IFERROR(__xludf.DUMMYFUNCTION("IMPORTRANGE(""https://docs.google.com/spreadsheets/d/11923uPwbBZFjjGgGUA6NLw09EwE0CqkOc4q9oUmW1yo/edit?usp=sharing"",""น่าน!I110"")"),0)</f>
        <v>0</v>
      </c>
      <c r="J185" s="203">
        <f ca="1">IFERROR(__xludf.DUMMYFUNCTION("IMPORTRANGE(""https://docs.google.com/spreadsheets/d/11923uPwbBZFjjGgGUA6NLw09EwE0CqkOc4q9oUmW1yo/edit?usp=sharing"",""น่าน!J110"")"),0)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IFERROR(__xludf.DUMMYFUNCTION("IMPORTRANGE(""https://docs.google.com/spreadsheets/d/11923uPwbBZFjjGgGUA6NLw09EwE0CqkOc4q9oUmW1yo/edit?usp=sharing"",""น่าน!I111"")"),0)</f>
        <v>0</v>
      </c>
      <c r="J186" s="203">
        <f ca="1">IFERROR(__xludf.DUMMYFUNCTION("IMPORTRANGE(""https://docs.google.com/spreadsheets/d/11923uPwbBZFjjGgGUA6NLw09EwE0CqkOc4q9oUmW1yo/edit?usp=sharing"",""น่าน!J111"")"),0)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IFERROR(__xludf.DUMMYFUNCTION("IMPORTRANGE(""https://docs.google.com/spreadsheets/d/11923uPwbBZFjjGgGUA6NLw09EwE0CqkOc4q9oUmW1yo/edit?usp=sharing"",""น่าน!J112"")"),0)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IFERROR(__xludf.DUMMYFUNCTION("IMPORTRANGE(""https://docs.google.com/spreadsheets/d/11923uPwbBZFjjGgGUA6NLw09EwE0CqkOc4q9oUmW1yo/edit?usp=sharing"",""น่าน!J113"")"),0)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IFERROR(__xludf.DUMMYFUNCTION("IMPORTRANGE(""https://docs.google.com/spreadsheets/d/11923uPwbBZFjjGgGUA6NLw09EwE0CqkOc4q9oUmW1yo/edit?usp=sharing"",""น่าน!I114"")"),50000)</f>
        <v>50000</v>
      </c>
      <c r="J189" s="284">
        <f ca="1">IFERROR(__xludf.DUMMYFUNCTION("IMPORTRANGE(""https://docs.google.com/spreadsheets/d/11923uPwbBZFjjGgGUA6NLw09EwE0CqkOc4q9oUmW1yo/edit?usp=sharing"",""น่าน!J114"")"),0)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IFERROR(__xludf.DUMMYFUNCTION("IMPORTRANGE(""https://docs.google.com/spreadsheets/d/11923uPwbBZFjjGgGUA6NLw09EwE0CqkOc4q9oUmW1yo/edit?usp=sharing"",""น่าน!J119"")"),1)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IFERROR(__xludf.DUMMYFUNCTION("IMPORTRANGE(""https://docs.google.com/spreadsheets/d/11923uPwbBZFjjGgGUA6NLw09EwE0CqkOc4q9oUmW1yo/edit?usp=sharing"",""น่าน!J120"")"),0)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IFERROR(__xludf.DUMMYFUNCTION("IMPORTRANGE(""https://docs.google.com/spreadsheets/d/11923uPwbBZFjjGgGUA6NLw09EwE0CqkOc4q9oUmW1yo/edit?usp=sharing"",""น่าน!J121"")"),0)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IFERROR(__xludf.DUMMYFUNCTION("IMPORTRANGE(""https://docs.google.com/spreadsheets/d/11923uPwbBZFjjGgGUA6NLw09EwE0CqkOc4q9oUmW1yo/edit?usp=sharing"",""น่าน!J122"")"),0)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IFERROR(__xludf.DUMMYFUNCTION("IMPORTRANGE(""https://docs.google.com/spreadsheets/d/11923uPwbBZFjjGgGUA6NLw09EwE0CqkOc4q9oUmW1yo/edit?usp=sharing"",""น่าน!I124"")"),50000)</f>
        <v>50000</v>
      </c>
      <c r="J199" s="188">
        <f ca="1">IFERROR(__xludf.DUMMYFUNCTION("IMPORTRANGE(""https://docs.google.com/spreadsheets/d/11923uPwbBZFjjGgGUA6NLw09EwE0CqkOc4q9oUmW1yo/edit?usp=sharing"",""น่าน!J124"")"),0)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IFERROR(__xludf.DUMMYFUNCTION("IMPORTRANGE(""https://docs.google.com/spreadsheets/d/11923uPwbBZFjjGgGUA6NLw09EwE0CqkOc4q9oUmW1yo/edit?usp=sharing"",""น่าน!I125"")"),50000)</f>
        <v>50000</v>
      </c>
      <c r="J200" s="188">
        <f ca="1">IFERROR(__xludf.DUMMYFUNCTION("IMPORTRANGE(""https://docs.google.com/spreadsheets/d/11923uPwbBZFjjGgGUA6NLw09EwE0CqkOc4q9oUmW1yo/edit?usp=sharing"",""น่าน!J125"")"),0)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IFERROR(__xludf.DUMMYFUNCTION("IMPORTRANGE(""https://docs.google.com/spreadsheets/d/11923uPwbBZFjjGgGUA6NLw09EwE0CqkOc4q9oUmW1yo/edit?usp=sharing"",""น่าน!I126"")"),0)</f>
        <v>0</v>
      </c>
      <c r="J201" s="188">
        <f ca="1">IFERROR(__xludf.DUMMYFUNCTION("IMPORTRANGE(""https://docs.google.com/spreadsheets/d/11923uPwbBZFjjGgGUA6NLw09EwE0CqkOc4q9oUmW1yo/edit?usp=sharing"",""น่าน!J126"")"),0)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IFERROR(__xludf.DUMMYFUNCTION("IMPORTRANGE(""https://docs.google.com/spreadsheets/d/11923uPwbBZFjjGgGUA6NLw09EwE0CqkOc4q9oUmW1yo/edit?usp=sharing"",""น่าน!J127"")"),0)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IFERROR(__xludf.DUMMYFUNCTION("IMPORTRANGE(""https://docs.google.com/spreadsheets/d/11923uPwbBZFjjGgGUA6NLw09EwE0CqkOc4q9oUmW1yo/edit?usp=sharing"",""น่าน!J128"")"),0)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IFERROR(__xludf.DUMMYFUNCTION("IMPORTRANGE(""https://docs.google.com/spreadsheets/d/11923uPwbBZFjjGgGUA6NLw09EwE0CqkOc4q9oUmW1yo/edit?usp=sharing"",""น่าน!I129"")"),90)</f>
        <v>90</v>
      </c>
      <c r="J204" s="284">
        <f ca="1">IFERROR(__xludf.DUMMYFUNCTION("IMPORTRANGE(""https://docs.google.com/spreadsheets/d/11923uPwbBZFjjGgGUA6NLw09EwE0CqkOc4q9oUmW1yo/edit?usp=sharing"",""น่าน!J129"")"),90)</f>
        <v>90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IFERROR(__xludf.DUMMYFUNCTION("IMPORTRANGE(""https://docs.google.com/spreadsheets/d/11923uPwbBZFjjGgGUA6NLw09EwE0CqkOc4q9oUmW1yo/edit?usp=sharing"",""น่าน!J134"")"),0)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IFERROR(__xludf.DUMMYFUNCTION("IMPORTRANGE(""https://docs.google.com/spreadsheets/d/11923uPwbBZFjjGgGUA6NLw09EwE0CqkOc4q9oUmW1yo/edit?usp=sharing"",""น่าน!J135"")"),1)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IFERROR(__xludf.DUMMYFUNCTION("IMPORTRANGE(""https://docs.google.com/spreadsheets/d/11923uPwbBZFjjGgGUA6NLw09EwE0CqkOc4q9oUmW1yo/edit?usp=sharing"",""น่าน!J136"")"),1)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IFERROR(__xludf.DUMMYFUNCTION("IMPORTRANGE(""https://docs.google.com/spreadsheets/d/11923uPwbBZFjjGgGUA6NLw09EwE0CqkOc4q9oUmW1yo/edit?usp=sharing"",""น่าน!J137"")"),1)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IFERROR(__xludf.DUMMYFUNCTION("IMPORTRANGE(""https://docs.google.com/spreadsheets/d/11923uPwbBZFjjGgGUA6NLw09EwE0CqkOc4q9oUmW1yo/edit?usp=sharing"",""น่าน!I138"")"),90)</f>
        <v>90</v>
      </c>
      <c r="J213" s="203">
        <f ca="1">IFERROR(__xludf.DUMMYFUNCTION("IMPORTRANGE(""https://docs.google.com/spreadsheets/d/11923uPwbBZFjjGgGUA6NLw09EwE0CqkOc4q9oUmW1yo/edit?usp=sharing"",""น่าน!J138"")"),90)</f>
        <v>90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IFERROR(__xludf.DUMMYFUNCTION("IMPORTRANGE(""https://docs.google.com/spreadsheets/d/11923uPwbBZFjjGgGUA6NLw09EwE0CqkOc4q9oUmW1yo/edit?usp=sharing"",""น่าน!I140"")"),90)</f>
        <v>90</v>
      </c>
      <c r="J215" s="203">
        <f ca="1">IFERROR(__xludf.DUMMYFUNCTION("IMPORTRANGE(""https://docs.google.com/spreadsheets/d/11923uPwbBZFjjGgGUA6NLw09EwE0CqkOc4q9oUmW1yo/edit?usp=sharing"",""น่าน!J140"")"),0)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IFERROR(__xludf.DUMMYFUNCTION("IMPORTRANGE(""https://docs.google.com/spreadsheets/d/11923uPwbBZFjjGgGUA6NLw09EwE0CqkOc4q9oUmW1yo/edit?usp=sharing"",""น่าน!I141"")"),4)</f>
        <v>4</v>
      </c>
      <c r="J216" s="203">
        <f ca="1">IFERROR(__xludf.DUMMYFUNCTION("IMPORTRANGE(""https://docs.google.com/spreadsheets/d/11923uPwbBZFjjGgGUA6NLw09EwE0CqkOc4q9oUmW1yo/edit?usp=sharing"",""น่าน!J141"")"),0)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IFERROR(__xludf.DUMMYFUNCTION("IMPORTRANGE(""https://docs.google.com/spreadsheets/d/11923uPwbBZFjjGgGUA6NLw09EwE0CqkOc4q9oUmW1yo/edit?usp=sharing"",""น่าน!J142"")"),0)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IFERROR(__xludf.DUMMYFUNCTION("IMPORTRANGE(""https://docs.google.com/spreadsheets/d/11923uPwbBZFjjGgGUA6NLw09EwE0CqkOc4q9oUmW1yo/edit?usp=sharing"",""น่าน!J143"")"),0)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IFERROR(__xludf.DUMMYFUNCTION("IMPORTRANGE(""https://docs.google.com/spreadsheets/d/11923uPwbBZFjjGgGUA6NLw09EwE0CqkOc4q9oUmW1yo/edit?usp=sharing"",""น่าน!I144"")"),15)</f>
        <v>15</v>
      </c>
      <c r="J219" s="267">
        <f ca="1">IFERROR(__xludf.DUMMYFUNCTION("IMPORTRANGE(""https://docs.google.com/spreadsheets/d/11923uPwbBZFjjGgGUA6NLw09EwE0CqkOc4q9oUmW1yo/edit?usp=sharing"",""น่าน!J144"")"),15)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IFERROR(__xludf.DUMMYFUNCTION("IMPORTRANGE(""https://docs.google.com/spreadsheets/d/1Yj_ptqi66GCucihVvJfMjLAmec39IyEx_6qawtMGysU/edit?usp=sharing"",""สบก!BS25"")"),21125)</f>
        <v>21125</v>
      </c>
      <c r="N224" s="168">
        <f ca="1">IFERROR(__xludf.DUMMYFUNCTION("IMPORTRANGE(""https://docs.google.com/spreadsheets/d/1Yj_ptqi66GCucihVvJfMjLAmec39IyEx_6qawtMGysU/edit?usp=sharing"",""สบก!BT25"")"),21125)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IFERROR(__xludf.DUMMYFUNCTION("IMPORTRANGE(""https://docs.google.com/spreadsheets/d/1Yj_ptqi66GCucihVvJfMjLAmec39IyEx_6qawtMGysU/edit?usp=sharing"",""สบก!BO25"")"),0)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IFERROR(__xludf.DUMMYFUNCTION("IMPORTRANGE(""https://docs.google.com/spreadsheets/d/1Yj_ptqi66GCucihVvJfMjLAmec39IyEx_6qawtMGysU/edit?usp=sharing"",""สบก!BP25"")"),21125)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IFERROR(__xludf.DUMMYFUNCTION("IMPORTRANGE(""https://docs.google.com/spreadsheets/d/1Yj_ptqi66GCucihVvJfMjLAmec39IyEx_6qawtMGysU/edit?usp=sharing"",""สบก!BQ25"")"),0)</f>
        <v>0</v>
      </c>
      <c r="M228" s="50"/>
      <c r="N228" s="50">
        <f ca="1">IFERROR(__xludf.DUMMYFUNCTION("IMPORTRANGE(""https://docs.google.com/spreadsheets/d/1Yj_ptqi66GCucihVvJfMjLAmec39IyEx_6qawtMGysU/edit?usp=sharing"",""สบก!BU25"")"),0)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IFERROR(__xludf.DUMMYFUNCTION("IMPORTRANGE(""https://docs.google.com/spreadsheets/d/11923uPwbBZFjjGgGUA6NLw09EwE0CqkOc4q9oUmW1yo/edit?usp=sharing"",""น่าน!I149"")"),15)</f>
        <v>15</v>
      </c>
      <c r="J229" s="267">
        <f ca="1">IFERROR(__xludf.DUMMYFUNCTION("IMPORTRANGE(""https://docs.google.com/spreadsheets/d/11923uPwbBZFjjGgGUA6NLw09EwE0CqkOc4q9oUmW1yo/edit?usp=sharing"",""น่าน!J149"")"),15)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IFERROR(__xludf.DUMMYFUNCTION("IMPORTRANGE(""https://docs.google.com/spreadsheets/d/11923uPwbBZFjjGgGUA6NLw09EwE0CqkOc4q9oUmW1yo/edit?usp=sharing"",""น่าน!J151"")"),0)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IFERROR(__xludf.DUMMYFUNCTION("IMPORTRANGE(""https://docs.google.com/spreadsheets/d/11923uPwbBZFjjGgGUA6NLw09EwE0CqkOc4q9oUmW1yo/edit?usp=sharing"",""น่าน!J152"")"),0)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IFERROR(__xludf.DUMMYFUNCTION("IMPORTRANGE(""https://docs.google.com/spreadsheets/d/11923uPwbBZFjjGgGUA6NLw09EwE0CqkOc4q9oUmW1yo/edit?usp=sharing"",""น่าน!J153"")"),1)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IFERROR(__xludf.DUMMYFUNCTION("IMPORTRANGE(""https://docs.google.com/spreadsheets/d/11923uPwbBZFjjGgGUA6NLw09EwE0CqkOc4q9oUmW1yo/edit?usp=sharing"",""น่าน!J154"")"),1)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IFERROR(__xludf.DUMMYFUNCTION("IMPORTRANGE(""https://docs.google.com/spreadsheets/d/11923uPwbBZFjjGgGUA6NLw09EwE0CqkOc4q9oUmW1yo/edit?usp=sharing"",""น่าน!I155"")"),15)</f>
        <v>15</v>
      </c>
      <c r="J235" s="188">
        <f ca="1">IFERROR(__xludf.DUMMYFUNCTION("IMPORTRANGE(""https://docs.google.com/spreadsheets/d/11923uPwbBZFjjGgGUA6NLw09EwE0CqkOc4q9oUmW1yo/edit?usp=sharing"",""น่าน!J155"")"),15)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IFERROR(__xludf.DUMMYFUNCTION("IMPORTRANGE(""https://docs.google.com/spreadsheets/d/11923uPwbBZFjjGgGUA6NLw09EwE0CqkOc4q9oUmW1yo/edit?usp=sharing"",""น่าน!J156"")"),1)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IFERROR(__xludf.DUMMYFUNCTION("IMPORTRANGE(""https://docs.google.com/spreadsheets/d/11923uPwbBZFjjGgGUA6NLw09EwE0CqkOc4q9oUmW1yo/edit?usp=sharing"",""น่าน!J157"")"),1)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IFERROR(__xludf.DUMMYFUNCTION("IMPORTRANGE(""https://docs.google.com/spreadsheets/d/11923uPwbBZFjjGgGUA6NLw09EwE0CqkOc4q9oUmW1yo/edit?usp=sharing"",""น่าน!I158"")"),0)</f>
        <v>0</v>
      </c>
      <c r="J238" s="267">
        <f ca="1">IFERROR(__xludf.DUMMYFUNCTION("IMPORTRANGE(""https://docs.google.com/spreadsheets/d/11923uPwbBZFjjGgGUA6NLw09EwE0CqkOc4q9oUmW1yo/edit?usp=sharing"",""น่าน!J158"")"),0)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IFERROR(__xludf.DUMMYFUNCTION("IMPORTRANGE(""https://docs.google.com/spreadsheets/d/11923uPwbBZFjjGgGUA6NLw09EwE0CqkOc4q9oUmW1yo/edit?usp=sharing"",""น่าน!J159"")"),"")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IFERROR(__xludf.DUMMYFUNCTION("IMPORTRANGE(""https://docs.google.com/spreadsheets/d/11923uPwbBZFjjGgGUA6NLw09EwE0CqkOc4q9oUmW1yo/edit?usp=sharing"",""น่าน!J161"")"),0)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IFERROR(__xludf.DUMMYFUNCTION("IMPORTRANGE(""https://docs.google.com/spreadsheets/d/11923uPwbBZFjjGgGUA6NLw09EwE0CqkOc4q9oUmW1yo/edit?usp=sharing"",""น่าน!J162"")"),0)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IFERROR(__xludf.DUMMYFUNCTION("IMPORTRANGE(""https://docs.google.com/spreadsheets/d/11923uPwbBZFjjGgGUA6NLw09EwE0CqkOc4q9oUmW1yo/edit?usp=sharing"",""น่าน!J163"")"),0)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IFERROR(__xludf.DUMMYFUNCTION("IMPORTRANGE(""https://docs.google.com/spreadsheets/d/11923uPwbBZFjjGgGUA6NLw09EwE0CqkOc4q9oUmW1yo/edit?usp=sharing"",""น่าน!I164"")"),0)</f>
        <v>0</v>
      </c>
      <c r="J244" s="187">
        <f ca="1">IFERROR(__xludf.DUMMYFUNCTION("IMPORTRANGE(""https://docs.google.com/spreadsheets/d/11923uPwbBZFjjGgGUA6NLw09EwE0CqkOc4q9oUmW1yo/edit?usp=sharing"",""น่าน!J164"")"),0)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IFERROR(__xludf.DUMMYFUNCTION("IMPORTRANGE(""https://docs.google.com/spreadsheets/d/11923uPwbBZFjjGgGUA6NLw09EwE0CqkOc4q9oUmW1yo/edit?usp=sharing"",""น่าน!J165"")"),0)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IFERROR(__xludf.DUMMYFUNCTION("IMPORTRANGE(""https://docs.google.com/spreadsheets/d/11923uPwbBZFjjGgGUA6NLw09EwE0CqkOc4q9oUmW1yo/edit?usp=sharing"",""น่าน!J166"")"),0)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IFERROR(__xludf.DUMMYFUNCTION("IMPORTRANGE(""https://docs.google.com/spreadsheets/d/11923uPwbBZFjjGgGUA6NLw09EwE0CqkOc4q9oUmW1yo/edit?usp=sharing"",""น่าน!I169"")"),0)</f>
        <v>0</v>
      </c>
      <c r="J249" s="316">
        <f ca="1">IFERROR(__xludf.DUMMYFUNCTION("IMPORTRANGE(""https://docs.google.com/spreadsheets/d/11923uPwbBZFjjGgGUA6NLw09EwE0CqkOc4q9oUmW1yo/edit?usp=sharing"",""น่าน!J169"")"),0)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IFERROR(__xludf.DUMMYFUNCTION("IMPORTRANGE(""https://docs.google.com/spreadsheets/d/1Yj_ptqi66GCucihVvJfMjLAmec39IyEx_6qawtMGysU/edit?usp=sharing"",""สบก!CB25"")"),0)</f>
        <v>0</v>
      </c>
      <c r="N254" s="168">
        <f ca="1">IFERROR(__xludf.DUMMYFUNCTION("IMPORTRANGE(""https://docs.google.com/spreadsheets/d/1Yj_ptqi66GCucihVvJfMjLAmec39IyEx_6qawtMGysU/edit?usp=sharing"",""สบก!CC25"")"),0)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IFERROR(__xludf.DUMMYFUNCTION("IMPORTRANGE(""https://docs.google.com/spreadsheets/d/1Yj_ptqi66GCucihVvJfMjLAmec39IyEx_6qawtMGysU/edit?usp=sharing"",""สบก!BX25"")"),0)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IFERROR(__xludf.DUMMYFUNCTION("IMPORTRANGE(""https://docs.google.com/spreadsheets/d/1Yj_ptqi66GCucihVvJfMjLAmec39IyEx_6qawtMGysU/edit?usp=sharing"",""สบก!BY25"")"),0)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IFERROR(__xludf.DUMMYFUNCTION("IMPORTRANGE(""https://docs.google.com/spreadsheets/d/1Yj_ptqi66GCucihVvJfMjLAmec39IyEx_6qawtMGysU/edit?usp=sharing"",""สบก!BZ25"")"),0)</f>
        <v>0</v>
      </c>
      <c r="M258" s="50"/>
      <c r="N258" s="50">
        <f ca="1">IFERROR(__xludf.DUMMYFUNCTION("IMPORTRANGE(""https://docs.google.com/spreadsheets/d/1Yj_ptqi66GCucihVvJfMjLAmec39IyEx_6qawtMGysU/edit?usp=sharing"",""สบก!CD25"")"),0)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IFERROR(__xludf.DUMMYFUNCTION("IMPORTRANGE(""https://docs.google.com/spreadsheets/d/11923uPwbBZFjjGgGUA6NLw09EwE0CqkOc4q9oUmW1yo/edit?usp=sharing"",""น่าน!J175"")"),0)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IFERROR(__xludf.DUMMYFUNCTION("IMPORTRANGE(""https://docs.google.com/spreadsheets/d/11923uPwbBZFjjGgGUA6NLw09EwE0CqkOc4q9oUmW1yo/edit?usp=sharing"",""น่าน!J176"")"),0)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IFERROR(__xludf.DUMMYFUNCTION("IMPORTRANGE(""https://docs.google.com/spreadsheets/d/11923uPwbBZFjjGgGUA6NLw09EwE0CqkOc4q9oUmW1yo/edit?usp=sharing"",""น่าน!J177"")"),0)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IFERROR(__xludf.DUMMYFUNCTION("IMPORTRANGE(""https://docs.google.com/spreadsheets/d/11923uPwbBZFjjGgGUA6NLw09EwE0CqkOc4q9oUmW1yo/edit?usp=sharing"",""น่าน!J178"")"),0)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IFERROR(__xludf.DUMMYFUNCTION("IMPORTRANGE(""https://docs.google.com/spreadsheets/d/11923uPwbBZFjjGgGUA6NLw09EwE0CqkOc4q9oUmW1yo/edit?usp=sharing"",""น่าน!I179"")"),0)</f>
        <v>0</v>
      </c>
      <c r="J264" s="188">
        <f ca="1">IFERROR(__xludf.DUMMYFUNCTION("IMPORTRANGE(""https://docs.google.com/spreadsheets/d/11923uPwbBZFjjGgGUA6NLw09EwE0CqkOc4q9oUmW1yo/edit?usp=sharing"",""น่าน!J179"")"),0)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IFERROR(__xludf.DUMMYFUNCTION("IMPORTRANGE(""https://docs.google.com/spreadsheets/d/11923uPwbBZFjjGgGUA6NLw09EwE0CqkOc4q9oUmW1yo/edit?usp=sharing"",""น่าน!I180"")"),0)</f>
        <v>0</v>
      </c>
      <c r="J265" s="188">
        <f ca="1">IFERROR(__xludf.DUMMYFUNCTION("IMPORTRANGE(""https://docs.google.com/spreadsheets/d/11923uPwbBZFjjGgGUA6NLw09EwE0CqkOc4q9oUmW1yo/edit?usp=sharing"",""น่าน!J180"")"),0)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IFERROR(__xludf.DUMMYFUNCTION("IMPORTRANGE(""https://docs.google.com/spreadsheets/d/11923uPwbBZFjjGgGUA6NLw09EwE0CqkOc4q9oUmW1yo/edit?usp=sharing"",""น่าน!I181"")"),0)</f>
        <v>0</v>
      </c>
      <c r="J266" s="188">
        <f ca="1">IFERROR(__xludf.DUMMYFUNCTION("IMPORTRANGE(""https://docs.google.com/spreadsheets/d/11923uPwbBZFjjGgGUA6NLw09EwE0CqkOc4q9oUmW1yo/edit?usp=sharing"",""น่าน!J181"")"),0)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IFERROR(__xludf.DUMMYFUNCTION("IMPORTRANGE(""https://docs.google.com/spreadsheets/d/11923uPwbBZFjjGgGUA6NLw09EwE0CqkOc4q9oUmW1yo/edit?usp=sharing"",""น่าน!I182"")"),0)</f>
        <v>0</v>
      </c>
      <c r="J267" s="188">
        <f ca="1">IFERROR(__xludf.DUMMYFUNCTION("IMPORTRANGE(""https://docs.google.com/spreadsheets/d/11923uPwbBZFjjGgGUA6NLw09EwE0CqkOc4q9oUmW1yo/edit?usp=sharing"",""น่าน!J182"")"),0)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IFERROR(__xludf.DUMMYFUNCTION("IMPORTRANGE(""https://docs.google.com/spreadsheets/d/11923uPwbBZFjjGgGUA6NLw09EwE0CqkOc4q9oUmW1yo/edit?usp=sharing"",""น่าน!J183"")"),0)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IFERROR(__xludf.DUMMYFUNCTION("IMPORTRANGE(""https://docs.google.com/spreadsheets/d/11923uPwbBZFjjGgGUA6NLw09EwE0CqkOc4q9oUmW1yo/edit?usp=sharing"",""น่าน!J184"")"),0)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IFERROR(__xludf.DUMMYFUNCTION("IMPORTRANGE(""https://docs.google.com/spreadsheets/d/11923uPwbBZFjjGgGUA6NLw09EwE0CqkOc4q9oUmW1yo/edit?usp=sharing"",""น่าน!I185"")"),15)</f>
        <v>15</v>
      </c>
      <c r="J270" s="316">
        <f ca="1">IFERROR(__xludf.DUMMYFUNCTION("IMPORTRANGE(""https://docs.google.com/spreadsheets/d/11923uPwbBZFjjGgGUA6NLw09EwE0CqkOc4q9oUmW1yo/edit?usp=sharing"",""น่าน!J185"")"),15)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100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32250</v>
      </c>
      <c r="N273" s="88">
        <f t="shared" ca="1" si="87"/>
        <v>32250</v>
      </c>
      <c r="O273" s="156">
        <f t="shared" ca="1" si="84"/>
        <v>58.423913043478258</v>
      </c>
      <c r="P273" s="156">
        <f t="shared" ca="1" si="85"/>
        <v>100</v>
      </c>
    </row>
    <row r="274" spans="1:16" ht="21.75" customHeight="1" x14ac:dyDescent="0.45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IFERROR(__xludf.DUMMYFUNCTION("IMPORTRANGE(""https://docs.google.com/spreadsheets/d/1Yj_ptqi66GCucihVvJfMjLAmec39IyEx_6qawtMGysU/edit?usp=sharing"",""สบก!CK25"")"),32250)</f>
        <v>32250</v>
      </c>
      <c r="N275" s="168">
        <f ca="1">IFERROR(__xludf.DUMMYFUNCTION("IMPORTRANGE(""https://docs.google.com/spreadsheets/d/1Yj_ptqi66GCucihVvJfMjLAmec39IyEx_6qawtMGysU/edit?usp=sharing"",""สบก!CL25"")"),32250)</f>
        <v>32250</v>
      </c>
      <c r="O275" s="168">
        <f ca="1">IF(L275&gt;0,N275*100/L275,0)</f>
        <v>58.423913043478258</v>
      </c>
      <c r="P275" s="168">
        <f ca="1">IF(M275&gt;0,N275*100/M275,0)</f>
        <v>100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IFERROR(__xludf.DUMMYFUNCTION("IMPORTRANGE(""https://docs.google.com/spreadsheets/d/1Yj_ptqi66GCucihVvJfMjLAmec39IyEx_6qawtMGysU/edit?usp=sharing"",""สบก!CG25"")"),0)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IFERROR(__xludf.DUMMYFUNCTION("IMPORTRANGE(""https://docs.google.com/spreadsheets/d/1Yj_ptqi66GCucihVvJfMjLAmec39IyEx_6qawtMGysU/edit?usp=sharing"",""สบก!CH25"")"),55200)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IFERROR(__xludf.DUMMYFUNCTION("IMPORTRANGE(""https://docs.google.com/spreadsheets/d/1Yj_ptqi66GCucihVvJfMjLAmec39IyEx_6qawtMGysU/edit?usp=sharing"",""สบก!CI25"")"),0)</f>
        <v>0</v>
      </c>
      <c r="M279" s="50"/>
      <c r="N279" s="50">
        <f ca="1">IFERROR(__xludf.DUMMYFUNCTION("IMPORTRANGE(""https://docs.google.com/spreadsheets/d/1Yj_ptqi66GCucihVvJfMjLAmec39IyEx_6qawtMGysU/edit?usp=sharing"",""สบก!CM25"")"),0)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IFERROR(__xludf.DUMMYFUNCTION("IMPORTRANGE(""https://docs.google.com/spreadsheets/d/11923uPwbBZFjjGgGUA6NLw09EwE0CqkOc4q9oUmW1yo/edit?usp=sharing"",""น่าน!J191"")"),0)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IFERROR(__xludf.DUMMYFUNCTION("IMPORTRANGE(""https://docs.google.com/spreadsheets/d/11923uPwbBZFjjGgGUA6NLw09EwE0CqkOc4q9oUmW1yo/edit?usp=sharing"",""น่าน!J192"")"),1)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IFERROR(__xludf.DUMMYFUNCTION("IMPORTRANGE(""https://docs.google.com/spreadsheets/d/11923uPwbBZFjjGgGUA6NLw09EwE0CqkOc4q9oUmW1yo/edit?usp=sharing"",""น่าน!J193"")"),1)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IFERROR(__xludf.DUMMYFUNCTION("IMPORTRANGE(""https://docs.google.com/spreadsheets/d/11923uPwbBZFjjGgGUA6NLw09EwE0CqkOc4q9oUmW1yo/edit?usp=sharing"",""น่าน!J194"")"),1)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IFERROR(__xludf.DUMMYFUNCTION("IMPORTRANGE(""https://docs.google.com/spreadsheets/d/11923uPwbBZFjjGgGUA6NLw09EwE0CqkOc4q9oUmW1yo/edit?usp=sharing"",""น่าน!I195"")"),15)</f>
        <v>15</v>
      </c>
      <c r="J285" s="188">
        <f ca="1">IFERROR(__xludf.DUMMYFUNCTION("IMPORTRANGE(""https://docs.google.com/spreadsheets/d/11923uPwbBZFjjGgGUA6NLw09EwE0CqkOc4q9oUmW1yo/edit?usp=sharing"",""น่าน!J195"")"),15)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IFERROR(__xludf.DUMMYFUNCTION("IMPORTRANGE(""https://docs.google.com/spreadsheets/d/11923uPwbBZFjjGgGUA6NLw09EwE0CqkOc4q9oUmW1yo/edit?usp=sharing"",""น่าน!J196"")"),0)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IFERROR(__xludf.DUMMYFUNCTION("IMPORTRANGE(""https://docs.google.com/spreadsheets/d/11923uPwbBZFjjGgGUA6NLw09EwE0CqkOc4q9oUmW1yo/edit?usp=sharing"",""น่าน!J197"")"),0)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IFERROR(__xludf.DUMMYFUNCTION("IMPORTRANGE(""https://docs.google.com/spreadsheets/d/11923uPwbBZFjjGgGUA6NLw09EwE0CqkOc4q9oUmW1yo/edit?usp=sharing"",""น่าน!I199"")"),0)</f>
        <v>0</v>
      </c>
      <c r="J289" s="316">
        <f ca="1">IFERROR(__xludf.DUMMYFUNCTION("IMPORTRANGE(""https://docs.google.com/spreadsheets/d/11923uPwbBZFjjGgGUA6NLw09EwE0CqkOc4q9oUmW1yo/edit?usp=sharing"",""น่าน!J199"")"),0)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IFERROR(__xludf.DUMMYFUNCTION("IMPORTRANGE(""https://docs.google.com/spreadsheets/d/1Yj_ptqi66GCucihVvJfMjLAmec39IyEx_6qawtMGysU/edit?usp=sharing"",""สบก!CT25"")"),0)</f>
        <v>0</v>
      </c>
      <c r="N294" s="168">
        <f ca="1">IFERROR(__xludf.DUMMYFUNCTION("IMPORTRANGE(""https://docs.google.com/spreadsheets/d/1Yj_ptqi66GCucihVvJfMjLAmec39IyEx_6qawtMGysU/edit?usp=sharing"",""สบก!CU25"")"),0)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IFERROR(__xludf.DUMMYFUNCTION("IMPORTRANGE(""https://docs.google.com/spreadsheets/d/1Yj_ptqi66GCucihVvJfMjLAmec39IyEx_6qawtMGysU/edit?usp=sharing"",""สบก!CP25"")"),0)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IFERROR(__xludf.DUMMYFUNCTION("IMPORTRANGE(""https://docs.google.com/spreadsheets/d/1Yj_ptqi66GCucihVvJfMjLAmec39IyEx_6qawtMGysU/edit?usp=sharing"",""สบก!CQ25"")"),0)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IFERROR(__xludf.DUMMYFUNCTION("IMPORTRANGE(""https://docs.google.com/spreadsheets/d/1Yj_ptqi66GCucihVvJfMjLAmec39IyEx_6qawtMGysU/edit?usp=sharing"",""สบก!CR25"")"),0)</f>
        <v>0</v>
      </c>
      <c r="M298" s="50"/>
      <c r="N298" s="50">
        <f ca="1">IFERROR(__xludf.DUMMYFUNCTION("IMPORTRANGE(""https://docs.google.com/spreadsheets/d/1Yj_ptqi66GCucihVvJfMjLAmec39IyEx_6qawtMGysU/edit?usp=sharing"",""สบก!CV25"")"),0)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IFERROR(__xludf.DUMMYFUNCTION("IMPORTRANGE(""https://docs.google.com/spreadsheets/d/11923uPwbBZFjjGgGUA6NLw09EwE0CqkOc4q9oUmW1yo/edit?usp=sharing"",""น่าน!J205"")"),0)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IFERROR(__xludf.DUMMYFUNCTION("IMPORTRANGE(""https://docs.google.com/spreadsheets/d/11923uPwbBZFjjGgGUA6NLw09EwE0CqkOc4q9oUmW1yo/edit?usp=sharing"",""น่าน!J206"")"),0)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IFERROR(__xludf.DUMMYFUNCTION("IMPORTRANGE(""https://docs.google.com/spreadsheets/d/11923uPwbBZFjjGgGUA6NLw09EwE0CqkOc4q9oUmW1yo/edit?usp=sharing"",""น่าน!J207"")"),0)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IFERROR(__xludf.DUMMYFUNCTION("IMPORTRANGE(""https://docs.google.com/spreadsheets/d/11923uPwbBZFjjGgGUA6NLw09EwE0CqkOc4q9oUmW1yo/edit?usp=sharing"",""น่าน!J208"")"),0)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IFERROR(__xludf.DUMMYFUNCTION("IMPORTRANGE(""https://docs.google.com/spreadsheets/d/11923uPwbBZFjjGgGUA6NLw09EwE0CqkOc4q9oUmW1yo/edit?usp=sharing"",""น่าน!I209"")"),0)</f>
        <v>0</v>
      </c>
      <c r="J304" s="203">
        <f ca="1">IFERROR(__xludf.DUMMYFUNCTION("IMPORTRANGE(""https://docs.google.com/spreadsheets/d/11923uPwbBZFjjGgGUA6NLw09EwE0CqkOc4q9oUmW1yo/edit?usp=sharing"",""น่าน!J209"")"),0)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IFERROR(__xludf.DUMMYFUNCTION("IMPORTRANGE(""https://docs.google.com/spreadsheets/d/11923uPwbBZFjjGgGUA6NLw09EwE0CqkOc4q9oUmW1yo/edit?usp=sharing"",""น่าน!I211"")"),0)</f>
        <v>0</v>
      </c>
      <c r="J306" s="203">
        <f ca="1">IFERROR(__xludf.DUMMYFUNCTION("IMPORTRANGE(""https://docs.google.com/spreadsheets/d/11923uPwbBZFjjGgGUA6NLw09EwE0CqkOc4q9oUmW1yo/edit?usp=sharing"",""น่าน!J211"")"),0)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IFERROR(__xludf.DUMMYFUNCTION("IMPORTRANGE(""https://docs.google.com/spreadsheets/d/11923uPwbBZFjjGgGUA6NLw09EwE0CqkOc4q9oUmW1yo/edit?usp=sharing"",""น่าน!J212"")"),0)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IFERROR(__xludf.DUMMYFUNCTION("IMPORTRANGE(""https://docs.google.com/spreadsheets/d/11923uPwbBZFjjGgGUA6NLw09EwE0CqkOc4q9oUmW1yo/edit?usp=sharing"",""น่าน!J213"")"),0)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IFERROR(__xludf.DUMMYFUNCTION("IMPORTRANGE(""https://docs.google.com/spreadsheets/d/11923uPwbBZFjjGgGUA6NLw09EwE0CqkOc4q9oUmW1yo/edit?usp=sharing"",""น่าน!I214"")"),0)</f>
        <v>0</v>
      </c>
      <c r="J309" s="333">
        <f ca="1">IFERROR(__xludf.DUMMYFUNCTION("IMPORTRANGE(""https://docs.google.com/spreadsheets/d/11923uPwbBZFjjGgGUA6NLw09EwE0CqkOc4q9oUmW1yo/edit?usp=sharing"",""น่าน!J214"")"),0)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IFERROR(__xludf.DUMMYFUNCTION("IMPORTRANGE(""https://docs.google.com/spreadsheets/d/1Yj_ptqi66GCucihVvJfMjLAmec39IyEx_6qawtMGysU/edit?usp=sharing"",""สบก!DC25"")"),0)</f>
        <v>0</v>
      </c>
      <c r="N314" s="168">
        <f ca="1">IFERROR(__xludf.DUMMYFUNCTION("IMPORTRANGE(""https://docs.google.com/spreadsheets/d/1Yj_ptqi66GCucihVvJfMjLAmec39IyEx_6qawtMGysU/edit?usp=sharing"",""สบก!DD25"")"),0)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IFERROR(__xludf.DUMMYFUNCTION("IMPORTRANGE(""https://docs.google.com/spreadsheets/d/1Yj_ptqi66GCucihVvJfMjLAmec39IyEx_6qawtMGysU/edit?usp=sharing"",""สบก!CY25"")"),0)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IFERROR(__xludf.DUMMYFUNCTION("IMPORTRANGE(""https://docs.google.com/spreadsheets/d/1Yj_ptqi66GCucihVvJfMjLAmec39IyEx_6qawtMGysU/edit?usp=sharing"",""สบก!CZ25"")"),0)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IFERROR(__xludf.DUMMYFUNCTION("IMPORTRANGE(""https://docs.google.com/spreadsheets/d/1Yj_ptqi66GCucihVvJfMjLAmec39IyEx_6qawtMGysU/edit?usp=sharing"",""สบก!DA25"")"),0)</f>
        <v>0</v>
      </c>
      <c r="M318" s="50"/>
      <c r="N318" s="50">
        <f ca="1">IFERROR(__xludf.DUMMYFUNCTION("IMPORTRANGE(""https://docs.google.com/spreadsheets/d/1Yj_ptqi66GCucihVvJfMjLAmec39IyEx_6qawtMGysU/edit?usp=sharing"",""สบก!DE25"")"),0)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IFERROR(__xludf.DUMMYFUNCTION("IMPORTRANGE(""https://docs.google.com/spreadsheets/d/11923uPwbBZFjjGgGUA6NLw09EwE0CqkOc4q9oUmW1yo/edit?usp=sharing"",""น่าน!J220"")"),0)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IFERROR(__xludf.DUMMYFUNCTION("IMPORTRANGE(""https://docs.google.com/spreadsheets/d/11923uPwbBZFjjGgGUA6NLw09EwE0CqkOc4q9oUmW1yo/edit?usp=sharing"",""น่าน!J221"")"),0)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IFERROR(__xludf.DUMMYFUNCTION("IMPORTRANGE(""https://docs.google.com/spreadsheets/d/11923uPwbBZFjjGgGUA6NLw09EwE0CqkOc4q9oUmW1yo/edit?usp=sharing"",""น่าน!J222"")"),0)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IFERROR(__xludf.DUMMYFUNCTION("IMPORTRANGE(""https://docs.google.com/spreadsheets/d/11923uPwbBZFjjGgGUA6NLw09EwE0CqkOc4q9oUmW1yo/edit?usp=sharing"",""น่าน!J223"")"),0)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IFERROR(__xludf.DUMMYFUNCTION("IMPORTRANGE(""https://docs.google.com/spreadsheets/d/11923uPwbBZFjjGgGUA6NLw09EwE0CqkOc4q9oUmW1yo/edit?usp=sharing"",""น่าน!I224"")"),0)</f>
        <v>0</v>
      </c>
      <c r="J324" s="203">
        <f ca="1">IFERROR(__xludf.DUMMYFUNCTION("IMPORTRANGE(""https://docs.google.com/spreadsheets/d/11923uPwbBZFjjGgGUA6NLw09EwE0CqkOc4q9oUmW1yo/edit?usp=sharing"",""น่าน!J224"")"),0)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IFERROR(__xludf.DUMMYFUNCTION("IMPORTRANGE(""https://docs.google.com/spreadsheets/d/11923uPwbBZFjjGgGUA6NLw09EwE0CqkOc4q9oUmW1yo/edit?usp=sharing"",""น่าน!J225"")"),0)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IFERROR(__xludf.DUMMYFUNCTION("IMPORTRANGE(""https://docs.google.com/spreadsheets/d/11923uPwbBZFjjGgGUA6NLw09EwE0CqkOc4q9oUmW1yo/edit?usp=sharing"",""น่าน!J226"")"),0)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IFERROR(__xludf.DUMMYFUNCTION("IMPORTRANGE(""https://docs.google.com/spreadsheets/d/11923uPwbBZFjjGgGUA6NLw09EwE0CqkOc4q9oUmW1yo/edit?usp=sharing"",""น่าน!I228"")"),800)</f>
        <v>800</v>
      </c>
      <c r="J328" s="339">
        <f ca="1">IFERROR(__xludf.DUMMYFUNCTION("IMPORTRANGE(""https://docs.google.com/spreadsheets/d/11923uPwbBZFjjGgGUA6NLw09EwE0CqkOc4q9oUmW1yo/edit?usp=sharing"",""น่าน!J228"")"),321)</f>
        <v>321</v>
      </c>
      <c r="K328" s="317">
        <f ca="1">IF(I328&gt;0,J328*100/I328,0)</f>
        <v>40.125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967350</v>
      </c>
      <c r="M329" s="152">
        <f t="shared" ca="1" si="98"/>
        <v>735580</v>
      </c>
      <c r="N329" s="152">
        <f t="shared" ca="1" si="98"/>
        <v>554550</v>
      </c>
      <c r="O329" s="151">
        <f t="shared" ref="O329:O331" ca="1" si="99">IF(L329&gt;0,N329*100/L329,0)</f>
        <v>57.32671732051481</v>
      </c>
      <c r="P329" s="151">
        <f t="shared" ref="P329:P331" ca="1" si="100">IF(M329&gt;0,N329*100/M329,0)</f>
        <v>75.389488566845216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967350</v>
      </c>
      <c r="M331" s="88">
        <f t="shared" ca="1" si="102"/>
        <v>735580</v>
      </c>
      <c r="N331" s="88">
        <f t="shared" ca="1" si="102"/>
        <v>554550</v>
      </c>
      <c r="O331" s="156">
        <f t="shared" ca="1" si="99"/>
        <v>57.32671732051481</v>
      </c>
      <c r="P331" s="156">
        <f t="shared" ca="1" si="100"/>
        <v>75.389488566845216</v>
      </c>
    </row>
    <row r="332" spans="1:16" ht="21.75" customHeight="1" x14ac:dyDescent="0.45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952350</v>
      </c>
      <c r="M333" s="167">
        <f ca="1">IFERROR(__xludf.DUMMYFUNCTION("IMPORTRANGE(""https://docs.google.com/spreadsheets/d/1Yj_ptqi66GCucihVvJfMjLAmec39IyEx_6qawtMGysU/edit?usp=sharing"",""สบก!DL25"")"),720580)</f>
        <v>720580</v>
      </c>
      <c r="N333" s="168">
        <f ca="1">IFERROR(__xludf.DUMMYFUNCTION("IMPORTRANGE(""https://docs.google.com/spreadsheets/d/1Yj_ptqi66GCucihVvJfMjLAmec39IyEx_6qawtMGysU/edit?usp=sharing"",""สบก!DM25"")"),539550)</f>
        <v>539550</v>
      </c>
      <c r="O333" s="168">
        <f ca="1">IF(L333&gt;0,N333*100/L333,0)</f>
        <v>56.654591274216415</v>
      </c>
      <c r="P333" s="168">
        <f ca="1">IF(M333&gt;0,N333*100/M333,0)</f>
        <v>74.877182269838187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IFERROR(__xludf.DUMMYFUNCTION("IMPORTRANGE(""https://docs.google.com/spreadsheets/d/1Yj_ptqi66GCucihVvJfMjLAmec39IyEx_6qawtMGysU/edit?usp=sharing"",""สบก!DH25"")"),417600)</f>
        <v>417600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IFERROR(__xludf.DUMMYFUNCTION("IMPORTRANGE(""https://docs.google.com/spreadsheets/d/1Yj_ptqi66GCucihVvJfMjLAmec39IyEx_6qawtMGysU/edit?usp=sharing"",""สบก!DI25"")"),534750)</f>
        <v>534750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IFERROR(__xludf.DUMMYFUNCTION("IMPORTRANGE(""https://docs.google.com/spreadsheets/d/1Yj_ptqi66GCucihVvJfMjLAmec39IyEx_6qawtMGysU/edit?usp=sharing"",""สบก!DJ25"")"),15000)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IFERROR(__xludf.DUMMYFUNCTION("IMPORTRANGE(""https://docs.google.com/spreadsheets/d/1Yj_ptqi66GCucihVvJfMjLAmec39IyEx_6qawtMGysU/edit?usp=sharing"",""สบก!DN25"")"),15000)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IFERROR(__xludf.DUMMYFUNCTION("IMPORTRANGE(""https://docs.google.com/spreadsheets/d/11923uPwbBZFjjGgGUA6NLw09EwE0CqkOc4q9oUmW1yo/edit?usp=sharing"",""น่าน!I234"")"),0)</f>
        <v>0</v>
      </c>
      <c r="J339" s="187">
        <f ca="1">IFERROR(__xludf.DUMMYFUNCTION("IMPORTRANGE(""https://docs.google.com/spreadsheets/d/11923uPwbBZFjjGgGUA6NLw09EwE0CqkOc4q9oUmW1yo/edit?usp=sharing"",""น่าน!J234"")"),305)</f>
        <v>305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IFERROR(__xludf.DUMMYFUNCTION("IMPORTRANGE(""https://docs.google.com/spreadsheets/d/11923uPwbBZFjjGgGUA6NLw09EwE0CqkOc4q9oUmW1yo/edit?usp=sharing"",""น่าน!I235"")"),2000)</f>
        <v>2000</v>
      </c>
      <c r="J340" s="187">
        <f ca="1">IFERROR(__xludf.DUMMYFUNCTION("IMPORTRANGE(""https://docs.google.com/spreadsheets/d/11923uPwbBZFjjGgGUA6NLw09EwE0CqkOc4q9oUmW1yo/edit?usp=sharing"",""น่าน!J235"")"),1042.92)</f>
        <v>1042.92</v>
      </c>
      <c r="K340" s="342">
        <f t="shared" ca="1" si="103"/>
        <v>52.146000000000001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IFERROR(__xludf.DUMMYFUNCTION("IMPORTRANGE(""https://docs.google.com/spreadsheets/d/11923uPwbBZFjjGgGUA6NLw09EwE0CqkOc4q9oUmW1yo/edit?usp=sharing"",""น่าน!I236"")"),800)</f>
        <v>800</v>
      </c>
      <c r="J341" s="187">
        <f ca="1">IFERROR(__xludf.DUMMYFUNCTION("IMPORTRANGE(""https://docs.google.com/spreadsheets/d/11923uPwbBZFjjGgGUA6NLw09EwE0CqkOc4q9oUmW1yo/edit?usp=sharing"",""น่าน!J236"")"),417)</f>
        <v>417</v>
      </c>
      <c r="K341" s="342">
        <f t="shared" ca="1" si="103"/>
        <v>52.125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IFERROR(__xludf.DUMMYFUNCTION("IMPORTRANGE(""https://docs.google.com/spreadsheets/d/11923uPwbBZFjjGgGUA6NLw09EwE0CqkOc4q9oUmW1yo/edit?usp=sharing"",""น่าน!I237"")"),0)</f>
        <v>0</v>
      </c>
      <c r="J342" s="187">
        <f ca="1">IFERROR(__xludf.DUMMYFUNCTION("IMPORTRANGE(""https://docs.google.com/spreadsheets/d/11923uPwbBZFjjGgGUA6NLw09EwE0CqkOc4q9oUmW1yo/edit?usp=sharing"",""น่าน!J237"")"),1909.97)</f>
        <v>1909.97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IFERROR(__xludf.DUMMYFUNCTION("IMPORTRANGE(""https://docs.google.com/spreadsheets/d/11923uPwbBZFjjGgGUA6NLw09EwE0CqkOc4q9oUmW1yo/edit?usp=sharing"",""น่าน!I238"")"),800)</f>
        <v>800</v>
      </c>
      <c r="J343" s="187">
        <f ca="1">IFERROR(__xludf.DUMMYFUNCTION("IMPORTRANGE(""https://docs.google.com/spreadsheets/d/11923uPwbBZFjjGgGUA6NLw09EwE0CqkOc4q9oUmW1yo/edit?usp=sharing"",""น่าน!J238"")"),3)</f>
        <v>3</v>
      </c>
      <c r="K343" s="342">
        <f t="shared" ca="1" si="103"/>
        <v>0.375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IFERROR(__xludf.DUMMYFUNCTION("IMPORTRANGE(""https://docs.google.com/spreadsheets/d/11923uPwbBZFjjGgGUA6NLw09EwE0CqkOc4q9oUmW1yo/edit?usp=sharing"",""น่าน!I239"")"),0)</f>
        <v>0</v>
      </c>
      <c r="J344" s="187">
        <f ca="1">IFERROR(__xludf.DUMMYFUNCTION("IMPORTRANGE(""https://docs.google.com/spreadsheets/d/11923uPwbBZFjjGgGUA6NLw09EwE0CqkOc4q9oUmW1yo/edit?usp=sharing"",""น่าน!J239"")"),20.7)</f>
        <v>20.7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IFERROR(__xludf.DUMMYFUNCTION("IMPORTRANGE(""https://docs.google.com/spreadsheets/d/11923uPwbBZFjjGgGUA6NLw09EwE0CqkOc4q9oUmW1yo/edit?usp=sharing"",""น่าน!I240"")"),800)</f>
        <v>800</v>
      </c>
      <c r="J345" s="187">
        <f ca="1">IFERROR(__xludf.DUMMYFUNCTION("IMPORTRANGE(""https://docs.google.com/spreadsheets/d/11923uPwbBZFjjGgGUA6NLw09EwE0CqkOc4q9oUmW1yo/edit?usp=sharing"",""น่าน!J240"")"),321)</f>
        <v>321</v>
      </c>
      <c r="K345" s="342">
        <f t="shared" ca="1" si="103"/>
        <v>40.125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IFERROR(__xludf.DUMMYFUNCTION("IMPORTRANGE(""https://docs.google.com/spreadsheets/d/11923uPwbBZFjjGgGUA6NLw09EwE0CqkOc4q9oUmW1yo/edit?usp=sharing"",""น่าน!I241"")"),0)</f>
        <v>0</v>
      </c>
      <c r="J346" s="187">
        <f ca="1">IFERROR(__xludf.DUMMYFUNCTION("IMPORTRANGE(""https://docs.google.com/spreadsheets/d/11923uPwbBZFjjGgGUA6NLw09EwE0CqkOc4q9oUmW1yo/edit?usp=sharing"",""น่าน!J241"")"),1521.9)</f>
        <v>1521.9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IFERROR(__xludf.DUMMYFUNCTION("IMPORTRANGE(""https://docs.google.com/spreadsheets/d/11923uPwbBZFjjGgGUA6NLw09EwE0CqkOc4q9oUmW1yo/edit?usp=sharing"",""น่าน!L242"")"),2780094)</f>
        <v>2780094</v>
      </c>
      <c r="M347" s="357"/>
      <c r="N347" s="357">
        <f ca="1">IFERROR(__xludf.DUMMYFUNCTION("IMPORTRANGE(""https://docs.google.com/spreadsheets/d/11923uPwbBZFjjGgGUA6NLw09EwE0CqkOc4q9oUmW1yo/edit?usp=sharing"",""น่าน!M242"")"),873473)</f>
        <v>873473</v>
      </c>
      <c r="O347" s="357">
        <f ca="1">+IF(L347&gt;0,N347*100/L347,0)</f>
        <v>31.418829723023755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IFERROR(__xludf.DUMMYFUNCTION("IMPORTRANGE(""https://docs.google.com/spreadsheets/d/11923uPwbBZFjjGgGUA6NLw09EwE0CqkOc4q9oUmW1yo/edit?usp=sharing"",""น่าน!I244"")"),120)</f>
        <v>120</v>
      </c>
      <c r="J349" s="370">
        <f ca="1">IFERROR(__xludf.DUMMYFUNCTION("IMPORTRANGE(""https://docs.google.com/spreadsheets/d/11923uPwbBZFjjGgGUA6NLw09EwE0CqkOc4q9oUmW1yo/edit?usp=sharing"",""น่าน!J244"")"),0)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IFERROR(__xludf.DUMMYFUNCTION("IMPORTRANGE(""https://docs.google.com/spreadsheets/d/11923uPwbBZFjjGgGUA6NLw09EwE0CqkOc4q9oUmW1yo/edit?usp=sharing"",""น่าน!L244"")"),346610)</f>
        <v>346610</v>
      </c>
      <c r="M349" s="372"/>
      <c r="N349" s="372">
        <f ca="1">IFERROR(__xludf.DUMMYFUNCTION("IMPORTRANGE(""https://docs.google.com/spreadsheets/d/11923uPwbBZFjjGgGUA6NLw09EwE0CqkOc4q9oUmW1yo/edit?usp=sharing"",""น่าน!M244"")"),155229)</f>
        <v>155229</v>
      </c>
      <c r="O349" s="372">
        <f ca="1">+IF(L349&gt;0,N349*100/L349,0)</f>
        <v>44.784916765240474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IFERROR(__xludf.DUMMYFUNCTION("IMPORTRANGE(""https://docs.google.com/spreadsheets/d/11923uPwbBZFjjGgGUA6NLw09EwE0CqkOc4q9oUmW1yo/edit?usp=sharing"",""น่าน!I245"")"),45)</f>
        <v>45</v>
      </c>
      <c r="J350" s="370">
        <f ca="1">IFERROR(__xludf.DUMMYFUNCTION("IMPORTRANGE(""https://docs.google.com/spreadsheets/d/11923uPwbBZFjjGgGUA6NLw09EwE0CqkOc4q9oUmW1yo/edit?usp=sharing"",""น่าน!J245"")"),45)</f>
        <v>45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IFERROR(__xludf.DUMMYFUNCTION("IMPORTRANGE(""https://docs.google.com/spreadsheets/d/11923uPwbBZFjjGgGUA6NLw09EwE0CqkOc4q9oUmW1yo/edit?usp=sharing"",""น่าน!L246"")"),0)</f>
        <v>0</v>
      </c>
      <c r="M351" s="164"/>
      <c r="N351" s="164">
        <f ca="1">IFERROR(__xludf.DUMMYFUNCTION("IMPORTRANGE(""https://docs.google.com/spreadsheets/d/11923uPwbBZFjjGgGUA6NLw09EwE0CqkOc4q9oUmW1yo/edit?usp=sharing"",""น่าน!M246"")"),0)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IFERROR(__xludf.DUMMYFUNCTION("IMPORTRANGE(""https://docs.google.com/spreadsheets/d/11923uPwbBZFjjGgGUA6NLw09EwE0CqkOc4q9oUmW1yo/edit?usp=sharing"",""น่าน!L247"")"),346610)</f>
        <v>346610</v>
      </c>
      <c r="M352" s="165"/>
      <c r="N352" s="164">
        <f ca="1">IFERROR(__xludf.DUMMYFUNCTION("IMPORTRANGE(""https://docs.google.com/spreadsheets/d/11923uPwbBZFjjGgGUA6NLw09EwE0CqkOc4q9oUmW1yo/edit?usp=sharing"",""น่าน!M247"")"),155229)</f>
        <v>155229</v>
      </c>
      <c r="O352" s="165">
        <f t="shared" ca="1" si="105"/>
        <v>44.784916765240474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IFERROR(__xludf.DUMMYFUNCTION("IMPORTRANGE(""https://docs.google.com/spreadsheets/d/11923uPwbBZFjjGgGUA6NLw09EwE0CqkOc4q9oUmW1yo/edit?usp=sharing"",""น่าน!L248"")"),0)</f>
        <v>0</v>
      </c>
      <c r="M353" s="168"/>
      <c r="N353" s="168">
        <f ca="1">IFERROR(__xludf.DUMMYFUNCTION("IMPORTRANGE(""https://docs.google.com/spreadsheets/d/11923uPwbBZFjjGgGUA6NLw09EwE0CqkOc4q9oUmW1yo/edit?usp=sharing"",""น่าน!M248"")"),0)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IFERROR(__xludf.DUMMYFUNCTION("IMPORTRANGE(""https://docs.google.com/spreadsheets/d/11923uPwbBZFjjGgGUA6NLw09EwE0CqkOc4q9oUmW1yo/edit?usp=sharing"",""น่าน!L249"")"),346610)</f>
        <v>346610</v>
      </c>
      <c r="M354" s="168"/>
      <c r="N354" s="167">
        <f ca="1">IFERROR(__xludf.DUMMYFUNCTION("IMPORTRANGE(""https://docs.google.com/spreadsheets/d/11923uPwbBZFjjGgGUA6NLw09EwE0CqkOc4q9oUmW1yo/edit?usp=sharing"",""น่าน!M249"")"),155229)</f>
        <v>155229</v>
      </c>
      <c r="O354" s="168">
        <f t="shared" ca="1" si="105"/>
        <v>44.784916765240474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IFERROR(__xludf.DUMMYFUNCTION("IMPORTRANGE(""https://docs.google.com/spreadsheets/d/11923uPwbBZFjjGgGUA6NLw09EwE0CqkOc4q9oUmW1yo/edit?usp=sharing"",""น่าน!M250"")"),56100)</f>
        <v>56100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IFERROR(__xludf.DUMMYFUNCTION("IMPORTRANGE(""https://docs.google.com/spreadsheets/d/11923uPwbBZFjjGgGUA6NLw09EwE0CqkOc4q9oUmW1yo/edit?usp=sharing"",""น่าน!M251"")"),0)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IFERROR(__xludf.DUMMYFUNCTION("IMPORTRANGE(""https://docs.google.com/spreadsheets/d/11923uPwbBZFjjGgGUA6NLw09EwE0CqkOc4q9oUmW1yo/edit?usp=sharing"",""น่าน!M252"")"),94449)</f>
        <v>94449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IFERROR(__xludf.DUMMYFUNCTION("IMPORTRANGE(""https://docs.google.com/spreadsheets/d/11923uPwbBZFjjGgGUA6NLw09EwE0CqkOc4q9oUmW1yo/edit?usp=sharing"",""น่าน!M253"")"),4680)</f>
        <v>4680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IFERROR(__xludf.DUMMYFUNCTION("IMPORTRANGE(""https://docs.google.com/spreadsheets/d/11923uPwbBZFjjGgGUA6NLw09EwE0CqkOc4q9oUmW1yo/edit?usp=sharing"",""น่าน!J255"")"),0)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IFERROR(__xludf.DUMMYFUNCTION("IMPORTRANGE(""https://docs.google.com/spreadsheets/d/11923uPwbBZFjjGgGUA6NLw09EwE0CqkOc4q9oUmW1yo/edit?usp=sharing"",""น่าน!J256"")"),1)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IFERROR(__xludf.DUMMYFUNCTION("IMPORTRANGE(""https://docs.google.com/spreadsheets/d/11923uPwbBZFjjGgGUA6NLw09EwE0CqkOc4q9oUmW1yo/edit?usp=sharing"",""น่าน!J257"")"),1)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IFERROR(__xludf.DUMMYFUNCTION("IMPORTRANGE(""https://docs.google.com/spreadsheets/d/11923uPwbBZFjjGgGUA6NLw09EwE0CqkOc4q9oUmW1yo/edit?usp=sharing"",""น่าน!J258"")"),1)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IFERROR(__xludf.DUMMYFUNCTION("IMPORTRANGE(""https://docs.google.com/spreadsheets/d/11923uPwbBZFjjGgGUA6NLw09EwE0CqkOc4q9oUmW1yo/edit?usp=sharing"",""น่าน!J166"")"),0)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IFERROR(__xludf.DUMMYFUNCTION("IMPORTRANGE(""https://docs.google.com/spreadsheets/d/11923uPwbBZFjjGgGUA6NLw09EwE0CqkOc4q9oUmW1yo/edit?usp=sharing"",""น่าน!J166"")"),0)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IFERROR(__xludf.DUMMYFUNCTION("IMPORTRANGE(""https://docs.google.com/spreadsheets/d/11923uPwbBZFjjGgGUA6NLw09EwE0CqkOc4q9oUmW1yo/edit?usp=sharing"",""น่าน!J166"")"),0)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IFERROR(__xludf.DUMMYFUNCTION("IMPORTRANGE(""https://docs.google.com/spreadsheets/d/11923uPwbBZFjjGgGUA6NLw09EwE0CqkOc4q9oUmW1yo/edit?usp=sharing"",""น่าน!J166"")"),0)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IFERROR(__xludf.DUMMYFUNCTION("IMPORTRANGE(""https://docs.google.com/spreadsheets/d/11923uPwbBZFjjGgGUA6NLw09EwE0CqkOc4q9oUmW1yo/edit?usp=sharing"",""น่าน!I263"")"),45)</f>
        <v>45</v>
      </c>
      <c r="J368" s="187">
        <f ca="1">IFERROR(__xludf.DUMMYFUNCTION("IMPORTRANGE(""https://docs.google.com/spreadsheets/d/11923uPwbBZFjjGgGUA6NLw09EwE0CqkOc4q9oUmW1yo/edit?usp=sharing"",""น่าน!J263"")"),45)</f>
        <v>45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IFERROR(__xludf.DUMMYFUNCTION("IMPORTRANGE(""https://docs.google.com/spreadsheets/d/11923uPwbBZFjjGgGUA6NLw09EwE0CqkOc4q9oUmW1yo/edit?usp=sharing"",""น่าน!I164"")"),0)</f>
        <v>0</v>
      </c>
      <c r="J369" s="203">
        <f ca="1">IFERROR(__xludf.DUMMYFUNCTION("IMPORTRANGE(""https://docs.google.com/spreadsheets/d/11923uPwbBZFjjGgGUA6NLw09EwE0CqkOc4q9oUmW1yo/edit?usp=sharing"",""น่าน!J164"")"),0)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IFERROR(__xludf.DUMMYFUNCTION("IMPORTRANGE(""https://docs.google.com/spreadsheets/d/11923uPwbBZFjjGgGUA6NLw09EwE0CqkOc4q9oUmW1yo/edit?usp=sharing"",""น่าน!I265"")"),45)</f>
        <v>45</v>
      </c>
      <c r="J370" s="203">
        <f ca="1">IFERROR(__xludf.DUMMYFUNCTION("IMPORTRANGE(""https://docs.google.com/spreadsheets/d/11923uPwbBZFjjGgGUA6NLw09EwE0CqkOc4q9oUmW1yo/edit?usp=sharing"",""น่าน!J265"")"),45)</f>
        <v>45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IFERROR(__xludf.DUMMYFUNCTION("IMPORTRANGE(""https://docs.google.com/spreadsheets/d/11923uPwbBZFjjGgGUA6NLw09EwE0CqkOc4q9oUmW1yo/edit?usp=sharing"",""น่าน!I164"")"),0)</f>
        <v>0</v>
      </c>
      <c r="J371" s="188">
        <f ca="1">IFERROR(__xludf.DUMMYFUNCTION("IMPORTRANGE(""https://docs.google.com/spreadsheets/d/11923uPwbBZFjjGgGUA6NLw09EwE0CqkOc4q9oUmW1yo/edit?usp=sharing"",""น่าน!J164"")"),0)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IFERROR(__xludf.DUMMYFUNCTION("IMPORTRANGE(""https://docs.google.com/spreadsheets/d/11923uPwbBZFjjGgGUA6NLw09EwE0CqkOc4q9oUmW1yo/edit?usp=sharing"",""น่าน!I267"")"),45)</f>
        <v>45</v>
      </c>
      <c r="J372" s="188">
        <f ca="1">IFERROR(__xludf.DUMMYFUNCTION("IMPORTRANGE(""https://docs.google.com/spreadsheets/d/11923uPwbBZFjjGgGUA6NLw09EwE0CqkOc4q9oUmW1yo/edit?usp=sharing"",""น่าน!J267"")"),45)</f>
        <v>45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IFERROR(__xludf.DUMMYFUNCTION("IMPORTRANGE(""https://docs.google.com/spreadsheets/d/11923uPwbBZFjjGgGUA6NLw09EwE0CqkOc4q9oUmW1yo/edit?usp=sharing"",""น่าน!I164"")"),0)</f>
        <v>0</v>
      </c>
      <c r="J373" s="203">
        <f ca="1">IFERROR(__xludf.DUMMYFUNCTION("IMPORTRANGE(""https://docs.google.com/spreadsheets/d/11923uPwbBZFjjGgGUA6NLw09EwE0CqkOc4q9oUmW1yo/edit?usp=sharing"",""น่าน!J164"")"),0)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IFERROR(__xludf.DUMMYFUNCTION("IMPORTRANGE(""https://docs.google.com/spreadsheets/d/11923uPwbBZFjjGgGUA6NLw09EwE0CqkOc4q9oUmW1yo/edit?usp=sharing"",""น่าน!I164"")"),0)</f>
        <v>0</v>
      </c>
      <c r="J374" s="187">
        <f ca="1">IFERROR(__xludf.DUMMYFUNCTION("IMPORTRANGE(""https://docs.google.com/spreadsheets/d/11923uPwbBZFjjGgGUA6NLw09EwE0CqkOc4q9oUmW1yo/edit?usp=sharing"",""น่าน!J164"")"),0)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IFERROR(__xludf.DUMMYFUNCTION("IMPORTRANGE(""https://docs.google.com/spreadsheets/d/11923uPwbBZFjjGgGUA6NLw09EwE0CqkOc4q9oUmW1yo/edit?usp=sharing"",""น่าน!I270"")"),120)</f>
        <v>120</v>
      </c>
      <c r="J375" s="187">
        <f ca="1">IFERROR(__xludf.DUMMYFUNCTION("IMPORTRANGE(""https://docs.google.com/spreadsheets/d/11923uPwbBZFjjGgGUA6NLw09EwE0CqkOc4q9oUmW1yo/edit?usp=sharing"",""น่าน!J270"")"),0)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IFERROR(__xludf.DUMMYFUNCTION("IMPORTRANGE(""https://docs.google.com/spreadsheets/d/11923uPwbBZFjjGgGUA6NLw09EwE0CqkOc4q9oUmW1yo/edit?usp=sharing"",""น่าน!I271"")"),60)</f>
        <v>60</v>
      </c>
      <c r="J376" s="188">
        <f ca="1">IFERROR(__xludf.DUMMYFUNCTION("IMPORTRANGE(""https://docs.google.com/spreadsheets/d/11923uPwbBZFjjGgGUA6NLw09EwE0CqkOc4q9oUmW1yo/edit?usp=sharing"",""น่าน!J271"")"),0)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IFERROR(__xludf.DUMMYFUNCTION("IMPORTRANGE(""https://docs.google.com/spreadsheets/d/11923uPwbBZFjjGgGUA6NLw09EwE0CqkOc4q9oUmW1yo/edit?usp=sharing"",""น่าน!I272"")"),60)</f>
        <v>60</v>
      </c>
      <c r="J377" s="203">
        <f ca="1">IFERROR(__xludf.DUMMYFUNCTION("IMPORTRANGE(""https://docs.google.com/spreadsheets/d/11923uPwbBZFjjGgGUA6NLw09EwE0CqkOc4q9oUmW1yo/edit?usp=sharing"",""น่าน!J272"")"),0)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IFERROR(__xludf.DUMMYFUNCTION("IMPORTRANGE(""https://docs.google.com/spreadsheets/d/11923uPwbBZFjjGgGUA6NLw09EwE0CqkOc4q9oUmW1yo/edit?usp=sharing"",""น่าน!J273"")"),0)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IFERROR(__xludf.DUMMYFUNCTION("IMPORTRANGE(""https://docs.google.com/spreadsheets/d/11923uPwbBZFjjGgGUA6NLw09EwE0CqkOc4q9oUmW1yo/edit?usp=sharing"",""น่าน!J274"")"),0)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IFERROR(__xludf.DUMMYFUNCTION("IMPORTRANGE(""https://docs.google.com/spreadsheets/d/11923uPwbBZFjjGgGUA6NLw09EwE0CqkOc4q9oUmW1yo/edit?usp=sharing"",""น่าน!I275"")"),1000)</f>
        <v>1000</v>
      </c>
      <c r="J380" s="370">
        <f ca="1">IFERROR(__xludf.DUMMYFUNCTION("IMPORTRANGE(""https://docs.google.com/spreadsheets/d/11923uPwbBZFjjGgGUA6NLw09EwE0CqkOc4q9oUmW1yo/edit?usp=sharing"",""น่าน!J275"")"),0)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IFERROR(__xludf.DUMMYFUNCTION("IMPORTRANGE(""https://docs.google.com/spreadsheets/d/11923uPwbBZFjjGgGUA6NLw09EwE0CqkOc4q9oUmW1yo/edit?usp=sharing"",""น่าน!L275"")"),1028520)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IFERROR(__xludf.DUMMYFUNCTION("IMPORTRANGE(""https://docs.google.com/spreadsheets/d/11923uPwbBZFjjGgGUA6NLw09EwE0CqkOc4q9oUmW1yo/edit?usp=sharing"",""น่าน!M275"")"),221848)</f>
        <v>221848</v>
      </c>
      <c r="O380" s="372">
        <f ca="1">+IF(L380&gt;0,N380*100/L380,0)</f>
        <v>21.569634037257419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IFERROR(__xludf.DUMMYFUNCTION("IMPORTRANGE(""https://docs.google.com/spreadsheets/d/11923uPwbBZFjjGgGUA6NLw09EwE0CqkOc4q9oUmW1yo/edit?usp=sharing"",""น่าน!I276"")"),100)</f>
        <v>100</v>
      </c>
      <c r="J381" s="370">
        <f ca="1">IFERROR(__xludf.DUMMYFUNCTION("IMPORTRANGE(""https://docs.google.com/spreadsheets/d/11923uPwbBZFjjGgGUA6NLw09EwE0CqkOc4q9oUmW1yo/edit?usp=sharing"",""น่าน!J276"")"),100)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IFERROR(__xludf.DUMMYFUNCTION("IMPORTRANGE(""https://docs.google.com/spreadsheets/d/11923uPwbBZFjjGgGUA6NLw09EwE0CqkOc4q9oUmW1yo/edit?usp=sharing"",""น่าน!L277"")"),0)</f>
        <v>0</v>
      </c>
      <c r="M382" s="164"/>
      <c r="N382" s="164">
        <f ca="1">IFERROR(__xludf.DUMMYFUNCTION("IMPORTRANGE(""https://docs.google.com/spreadsheets/d/11923uPwbBZFjjGgGUA6NLw09EwE0CqkOc4q9oUmW1yo/edit?usp=sharing"",""น่าน!M277"")"),0)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IFERROR(__xludf.DUMMYFUNCTION("IMPORTRANGE(""https://docs.google.com/spreadsheets/d/11923uPwbBZFjjGgGUA6NLw09EwE0CqkOc4q9oUmW1yo/edit?usp=sharing"",""น่าน!L278"")"),1028520)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IFERROR(__xludf.DUMMYFUNCTION("IMPORTRANGE(""https://docs.google.com/spreadsheets/d/11923uPwbBZFjjGgGUA6NLw09EwE0CqkOc4q9oUmW1yo/edit?usp=sharing"",""น่าน!M278"")"),221848)</f>
        <v>221848</v>
      </c>
      <c r="O383" s="165">
        <f t="shared" ca="1" si="109"/>
        <v>21.569634037257419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IFERROR(__xludf.DUMMYFUNCTION("IMPORTRANGE(""https://docs.google.com/spreadsheets/d/11923uPwbBZFjjGgGUA6NLw09EwE0CqkOc4q9oUmW1yo/edit?usp=sharing"",""น่าน!L279"")"),0)</f>
        <v>0</v>
      </c>
      <c r="M384" s="168"/>
      <c r="N384" s="168">
        <f ca="1">IFERROR(__xludf.DUMMYFUNCTION("IMPORTRANGE(""https://docs.google.com/spreadsheets/d/11923uPwbBZFjjGgGUA6NLw09EwE0CqkOc4q9oUmW1yo/edit?usp=sharing"",""น่าน!M279"")"),0)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IFERROR(__xludf.DUMMYFUNCTION("IMPORTRANGE(""https://docs.google.com/spreadsheets/d/11923uPwbBZFjjGgGUA6NLw09EwE0CqkOc4q9oUmW1yo/edit?usp=sharing"",""น่าน!L280"")"),1028520)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IFERROR(__xludf.DUMMYFUNCTION("IMPORTRANGE(""https://docs.google.com/spreadsheets/d/11923uPwbBZFjjGgGUA6NLw09EwE0CqkOc4q9oUmW1yo/edit?usp=sharing"",""น่าน!M280"")"),221848)</f>
        <v>221848</v>
      </c>
      <c r="O385" s="168">
        <f t="shared" ca="1" si="109"/>
        <v>21.569634037257419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IFERROR(__xludf.DUMMYFUNCTION("IMPORTRANGE(""https://docs.google.com/spreadsheets/d/11923uPwbBZFjjGgGUA6NLw09EwE0CqkOc4q9oUmW1yo/edit?usp=sharing"",""น่าน!M281"")"),124170)</f>
        <v>124170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IFERROR(__xludf.DUMMYFUNCTION("IMPORTRANGE(""https://docs.google.com/spreadsheets/d/11923uPwbBZFjjGgGUA6NLw09EwE0CqkOc4q9oUmW1yo/edit?usp=sharing"",""น่าน!M282"")"),0)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IFERROR(__xludf.DUMMYFUNCTION("IMPORTRANGE(""https://docs.google.com/spreadsheets/d/11923uPwbBZFjjGgGUA6NLw09EwE0CqkOc4q9oUmW1yo/edit?usp=sharing"",""น่าน!M283"")"),93558)</f>
        <v>93558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IFERROR(__xludf.DUMMYFUNCTION("IMPORTRANGE(""https://docs.google.com/spreadsheets/d/11923uPwbBZFjjGgGUA6NLw09EwE0CqkOc4q9oUmW1yo/edit?usp=sharing"",""น่าน!M284"")"),4120)</f>
        <v>4120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IFERROR(__xludf.DUMMYFUNCTION("IMPORTRANGE(""https://docs.google.com/spreadsheets/d/11923uPwbBZFjjGgGUA6NLw09EwE0CqkOc4q9oUmW1yo/edit?usp=sharing"",""น่าน!J286"")"),0)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IFERROR(__xludf.DUMMYFUNCTION("IMPORTRANGE(""https://docs.google.com/spreadsheets/d/11923uPwbBZFjjGgGUA6NLw09EwE0CqkOc4q9oUmW1yo/edit?usp=sharing"",""น่าน!J287"")"),1)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IFERROR(__xludf.DUMMYFUNCTION("IMPORTRANGE(""https://docs.google.com/spreadsheets/d/11923uPwbBZFjjGgGUA6NLw09EwE0CqkOc4q9oUmW1yo/edit?usp=sharing"",""น่าน!J288"")"),1)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IFERROR(__xludf.DUMMYFUNCTION("IMPORTRANGE(""https://docs.google.com/spreadsheets/d/11923uPwbBZFjjGgGUA6NLw09EwE0CqkOc4q9oUmW1yo/edit?usp=sharing"",""น่าน!J289"")"),1)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IFERROR(__xludf.DUMMYFUNCTION("IMPORTRANGE(""https://docs.google.com/spreadsheets/d/11923uPwbBZFjjGgGUA6NLw09EwE0CqkOc4q9oUmW1yo/edit?usp=sharing"",""น่าน!I291"")"),100)</f>
        <v>100</v>
      </c>
      <c r="J396" s="197">
        <f ca="1">IFERROR(__xludf.DUMMYFUNCTION("IMPORTRANGE(""https://docs.google.com/spreadsheets/d/11923uPwbBZFjjGgGUA6NLw09EwE0CqkOc4q9oUmW1yo/edit?usp=sharing"",""น่าน!J291"")"),100)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IFERROR(__xludf.DUMMYFUNCTION("IMPORTRANGE(""https://docs.google.com/spreadsheets/d/11923uPwbBZFjjGgGUA6NLw09EwE0CqkOc4q9oUmW1yo/edit?usp=sharing"",""น่าน!I292"")"),1000)</f>
        <v>1000</v>
      </c>
      <c r="J397" s="197">
        <f ca="1">IFERROR(__xludf.DUMMYFUNCTION("IMPORTRANGE(""https://docs.google.com/spreadsheets/d/11923uPwbBZFjjGgGUA6NLw09EwE0CqkOc4q9oUmW1yo/edit?usp=sharing"",""น่าน!J292"")"),0)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IFERROR(__xludf.DUMMYFUNCTION("IMPORTRANGE(""https://docs.google.com/spreadsheets/d/11923uPwbBZFjjGgGUA6NLw09EwE0CqkOc4q9oUmW1yo/edit?usp=sharing"",""น่าน!I293"")"),100)</f>
        <v>100</v>
      </c>
      <c r="J398" s="197">
        <f ca="1">IFERROR(__xludf.DUMMYFUNCTION("IMPORTRANGE(""https://docs.google.com/spreadsheets/d/11923uPwbBZFjjGgGUA6NLw09EwE0CqkOc4q9oUmW1yo/edit?usp=sharing"",""น่าน!J293"")"),0)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IFERROR(__xludf.DUMMYFUNCTION("IMPORTRANGE(""https://docs.google.com/spreadsheets/d/11923uPwbBZFjjGgGUA6NLw09EwE0CqkOc4q9oUmW1yo/edit?usp=sharing"",""น่าน!J294"")"),0)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IFERROR(__xludf.DUMMYFUNCTION("IMPORTRANGE(""https://docs.google.com/spreadsheets/d/11923uPwbBZFjjGgGUA6NLw09EwE0CqkOc4q9oUmW1yo/edit?usp=sharing"",""น่าน!J295"")"),0)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IFERROR(__xludf.DUMMYFUNCTION("IMPORTRANGE(""https://docs.google.com/spreadsheets/d/11923uPwbBZFjjGgGUA6NLw09EwE0CqkOc4q9oUmW1yo/edit?usp=sharing"",""น่าน!I296"")"),150)</f>
        <v>150</v>
      </c>
      <c r="J401" s="370">
        <f ca="1">IFERROR(__xludf.DUMMYFUNCTION("IMPORTRANGE(""https://docs.google.com/spreadsheets/d/11923uPwbBZFjjGgGUA6NLw09EwE0CqkOc4q9oUmW1yo/edit?usp=sharing"",""น่าน!J296"")"),120)</f>
        <v>120</v>
      </c>
      <c r="K401" s="371">
        <f t="shared" ref="K401:K402" ca="1" si="111">IF(I401&gt;0,J401*100/I401,0)</f>
        <v>80</v>
      </c>
      <c r="L401" s="372">
        <f ca="1">IFERROR(__xludf.DUMMYFUNCTION("IMPORTRANGE(""https://docs.google.com/spreadsheets/d/11923uPwbBZFjjGgGUA6NLw09EwE0CqkOc4q9oUmW1yo/edit?usp=sharing"",""น่าน!L296"")"),172800)</f>
        <v>172800</v>
      </c>
      <c r="M401" s="372"/>
      <c r="N401" s="372">
        <f ca="1">IFERROR(__xludf.DUMMYFUNCTION("IMPORTRANGE(""https://docs.google.com/spreadsheets/d/11923uPwbBZFjjGgGUA6NLw09EwE0CqkOc4q9oUmW1yo/edit?usp=sharing"",""น่าน!M296"")"),104663)</f>
        <v>104663</v>
      </c>
      <c r="O401" s="372">
        <f ca="1">+IF(L401&gt;0,N401*100/L401,0)</f>
        <v>60.56886574074074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IFERROR(__xludf.DUMMYFUNCTION("IMPORTRANGE(""https://docs.google.com/spreadsheets/d/11923uPwbBZFjjGgGUA6NLw09EwE0CqkOc4q9oUmW1yo/edit?usp=sharing"",""น่าน!I297"")"),50)</f>
        <v>50</v>
      </c>
      <c r="J402" s="370">
        <f ca="1">IFERROR(__xludf.DUMMYFUNCTION("IMPORTRANGE(""https://docs.google.com/spreadsheets/d/11923uPwbBZFjjGgGUA6NLw09EwE0CqkOc4q9oUmW1yo/edit?usp=sharing"",""น่าน!J297"")"),20)</f>
        <v>20</v>
      </c>
      <c r="K402" s="371">
        <f t="shared" ca="1" si="111"/>
        <v>40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IFERROR(__xludf.DUMMYFUNCTION("IMPORTRANGE(""https://docs.google.com/spreadsheets/d/11923uPwbBZFjjGgGUA6NLw09EwE0CqkOc4q9oUmW1yo/edit?usp=sharing"",""น่าน!L298"")"),0)</f>
        <v>0</v>
      </c>
      <c r="M403" s="164"/>
      <c r="N403" s="168">
        <f ca="1">IFERROR(__xludf.DUMMYFUNCTION("IMPORTRANGE(""https://docs.google.com/spreadsheets/d/11923uPwbBZFjjGgGUA6NLw09EwE0CqkOc4q9oUmW1yo/edit?usp=sharing"",""น่าน!M298"")"),0)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IFERROR(__xludf.DUMMYFUNCTION("IMPORTRANGE(""https://docs.google.com/spreadsheets/d/11923uPwbBZFjjGgGUA6NLw09EwE0CqkOc4q9oUmW1yo/edit?usp=sharing"",""น่าน!L299"")"),172800)</f>
        <v>172800</v>
      </c>
      <c r="M404" s="165"/>
      <c r="N404" s="168">
        <f ca="1">IFERROR(__xludf.DUMMYFUNCTION("IMPORTRANGE(""https://docs.google.com/spreadsheets/d/11923uPwbBZFjjGgGUA6NLw09EwE0CqkOc4q9oUmW1yo/edit?usp=sharing"",""น่าน!M299"")"),104663)</f>
        <v>104663</v>
      </c>
      <c r="O404" s="168">
        <f t="shared" ca="1" si="112"/>
        <v>60.56886574074074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IFERROR(__xludf.DUMMYFUNCTION("IMPORTRANGE(""https://docs.google.com/spreadsheets/d/11923uPwbBZFjjGgGUA6NLw09EwE0CqkOc4q9oUmW1yo/edit?usp=sharing"",""น่าน!L300"")"),0)</f>
        <v>0</v>
      </c>
      <c r="M405" s="168"/>
      <c r="N405" s="168">
        <f ca="1">IFERROR(__xludf.DUMMYFUNCTION("IMPORTRANGE(""https://docs.google.com/spreadsheets/d/11923uPwbBZFjjGgGUA6NLw09EwE0CqkOc4q9oUmW1yo/edit?usp=sharing"",""น่าน!M300"")"),0)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IFERROR(__xludf.DUMMYFUNCTION("IMPORTRANGE(""https://docs.google.com/spreadsheets/d/11923uPwbBZFjjGgGUA6NLw09EwE0CqkOc4q9oUmW1yo/edit?usp=sharing"",""น่าน!L301"")"),172800)</f>
        <v>172800</v>
      </c>
      <c r="M406" s="168"/>
      <c r="N406" s="168">
        <f ca="1">IFERROR(__xludf.DUMMYFUNCTION("IMPORTRANGE(""https://docs.google.com/spreadsheets/d/11923uPwbBZFjjGgGUA6NLw09EwE0CqkOc4q9oUmW1yo/edit?usp=sharing"",""น่าน!M301"")"),104663)</f>
        <v>104663</v>
      </c>
      <c r="O406" s="168">
        <f t="shared" ca="1" si="112"/>
        <v>60.56886574074074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IFERROR(__xludf.DUMMYFUNCTION("IMPORTRANGE(""https://docs.google.com/spreadsheets/d/11923uPwbBZFjjGgGUA6NLw09EwE0CqkOc4q9oUmW1yo/edit?usp=sharing"",""น่าน!M302"")"),93943)</f>
        <v>93943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IFERROR(__xludf.DUMMYFUNCTION("IMPORTRANGE(""https://docs.google.com/spreadsheets/d/11923uPwbBZFjjGgGUA6NLw09EwE0CqkOc4q9oUmW1yo/edit?usp=sharing"",""น่าน!M303"")"),0)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IFERROR(__xludf.DUMMYFUNCTION("IMPORTRANGE(""https://docs.google.com/spreadsheets/d/11923uPwbBZFjjGgGUA6NLw09EwE0CqkOc4q9oUmW1yo/edit?usp=sharing"",""น่าน!M304"")"),0)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IFERROR(__xludf.DUMMYFUNCTION("IMPORTRANGE(""https://docs.google.com/spreadsheets/d/11923uPwbBZFjjGgGUA6NLw09EwE0CqkOc4q9oUmW1yo/edit?usp=sharing"",""น่าน!M305"")"),10720)</f>
        <v>10720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IFERROR(__xludf.DUMMYFUNCTION("IMPORTRANGE(""https://docs.google.com/spreadsheets/d/11923uPwbBZFjjGgGUA6NLw09EwE0CqkOc4q9oUmW1yo/edit?usp=sharing"",""น่าน!J307"")"),0)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IFERROR(__xludf.DUMMYFUNCTION("IMPORTRANGE(""https://docs.google.com/spreadsheets/d/11923uPwbBZFjjGgGUA6NLw09EwE0CqkOc4q9oUmW1yo/edit?usp=sharing"",""น่าน!J308"")"),1)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IFERROR(__xludf.DUMMYFUNCTION("IMPORTRANGE(""https://docs.google.com/spreadsheets/d/11923uPwbBZFjjGgGUA6NLw09EwE0CqkOc4q9oUmW1yo/edit?usp=sharing"",""น่าน!J309"")"),1)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IFERROR(__xludf.DUMMYFUNCTION("IMPORTRANGE(""https://docs.google.com/spreadsheets/d/11923uPwbBZFjjGgGUA6NLw09EwE0CqkOc4q9oUmW1yo/edit?usp=sharing"",""น่าน!J310"")"),1)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IFERROR(__xludf.DUMMYFUNCTION("IMPORTRANGE(""https://docs.google.com/spreadsheets/d/11923uPwbBZFjjGgGUA6NLw09EwE0CqkOc4q9oUmW1yo/edit?usp=sharing"",""น่าน!I311"")"),50)</f>
        <v>50</v>
      </c>
      <c r="J416" s="200">
        <f ca="1">IFERROR(__xludf.DUMMYFUNCTION("IMPORTRANGE(""https://docs.google.com/spreadsheets/d/11923uPwbBZFjjGgGUA6NLw09EwE0CqkOc4q9oUmW1yo/edit?usp=sharing"",""น่าน!J311"")"),20)</f>
        <v>20</v>
      </c>
      <c r="K416" s="201">
        <f t="shared" ref="K416:K432" ca="1" si="113">IF(I416&gt;0,J416*100/I416,0)</f>
        <v>40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IFERROR(__xludf.DUMMYFUNCTION("IMPORTRANGE(""https://docs.google.com/spreadsheets/d/11923uPwbBZFjjGgGUA6NLw09EwE0CqkOc4q9oUmW1yo/edit?usp=sharing"",""น่าน!I312"")"),10)</f>
        <v>10</v>
      </c>
      <c r="J417" s="391">
        <f ca="1">IFERROR(__xludf.DUMMYFUNCTION("IMPORTRANGE(""https://docs.google.com/spreadsheets/d/11923uPwbBZFjjGgGUA6NLw09EwE0CqkOc4q9oUmW1yo/edit?usp=sharing"",""น่าน!J312"")"),10)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IFERROR(__xludf.DUMMYFUNCTION("IMPORTRANGE(""https://docs.google.com/spreadsheets/d/11923uPwbBZFjjGgGUA6NLw09EwE0CqkOc4q9oUmW1yo/edit?usp=sharing"",""น่าน!I313"")"),30)</f>
        <v>30</v>
      </c>
      <c r="J418" s="392">
        <f ca="1">IFERROR(__xludf.DUMMYFUNCTION("IMPORTRANGE(""https://docs.google.com/spreadsheets/d/11923uPwbBZFjjGgGUA6NLw09EwE0CqkOc4q9oUmW1yo/edit?usp=sharing"",""น่าน!J313"")"),30)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IFERROR(__xludf.DUMMYFUNCTION("IMPORTRANGE(""https://docs.google.com/spreadsheets/d/11923uPwbBZFjjGgGUA6NLw09EwE0CqkOc4q9oUmW1yo/edit?usp=sharing"",""น่าน!I314"")"),10)</f>
        <v>10</v>
      </c>
      <c r="J419" s="393">
        <f ca="1">IFERROR(__xludf.DUMMYFUNCTION("IMPORTRANGE(""https://docs.google.com/spreadsheets/d/11923uPwbBZFjjGgGUA6NLw09EwE0CqkOc4q9oUmW1yo/edit?usp=sharing"",""น่าน!J314"")"),10)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IFERROR(__xludf.DUMMYFUNCTION("IMPORTRANGE(""https://docs.google.com/spreadsheets/d/11923uPwbBZFjjGgGUA6NLw09EwE0CqkOc4q9oUmW1yo/edit?usp=sharing"",""น่าน!I315"")"),10)</f>
        <v>10</v>
      </c>
      <c r="J420" s="393">
        <f ca="1">IFERROR(__xludf.DUMMYFUNCTION("IMPORTRANGE(""https://docs.google.com/spreadsheets/d/11923uPwbBZFjjGgGUA6NLw09EwE0CqkOc4q9oUmW1yo/edit?usp=sharing"",""น่าน!J315"")"),10)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IFERROR(__xludf.DUMMYFUNCTION("IMPORTRANGE(""https://docs.google.com/spreadsheets/d/11923uPwbBZFjjGgGUA6NLw09EwE0CqkOc4q9oUmW1yo/edit?usp=sharing"",""น่าน!I316"")"),30)</f>
        <v>30</v>
      </c>
      <c r="J421" s="391">
        <f ca="1">IFERROR(__xludf.DUMMYFUNCTION("IMPORTRANGE(""https://docs.google.com/spreadsheets/d/11923uPwbBZFjjGgGUA6NLw09EwE0CqkOc4q9oUmW1yo/edit?usp=sharing"",""น่าน!J316"")"),0)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IFERROR(__xludf.DUMMYFUNCTION("IMPORTRANGE(""https://docs.google.com/spreadsheets/d/11923uPwbBZFjjGgGUA6NLw09EwE0CqkOc4q9oUmW1yo/edit?usp=sharing"",""น่าน!I317"")"),90)</f>
        <v>90</v>
      </c>
      <c r="J422" s="392">
        <f ca="1">IFERROR(__xludf.DUMMYFUNCTION("IMPORTRANGE(""https://docs.google.com/spreadsheets/d/11923uPwbBZFjjGgGUA6NLw09EwE0CqkOc4q9oUmW1yo/edit?usp=sharing"",""น่าน!J317"")"),60)</f>
        <v>60</v>
      </c>
      <c r="K422" s="201">
        <f t="shared" ca="1" si="113"/>
        <v>66.666666666666671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IFERROR(__xludf.DUMMYFUNCTION("IMPORTRANGE(""https://docs.google.com/spreadsheets/d/11923uPwbBZFjjGgGUA6NLw09EwE0CqkOc4q9oUmW1yo/edit?usp=sharing"",""น่าน!I318"")"),30)</f>
        <v>30</v>
      </c>
      <c r="J423" s="393">
        <f ca="1">IFERROR(__xludf.DUMMYFUNCTION("IMPORTRANGE(""https://docs.google.com/spreadsheets/d/11923uPwbBZFjjGgGUA6NLw09EwE0CqkOc4q9oUmW1yo/edit?usp=sharing"",""น่าน!J318"")"),30)</f>
        <v>30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IFERROR(__xludf.DUMMYFUNCTION("IMPORTRANGE(""https://docs.google.com/spreadsheets/d/11923uPwbBZFjjGgGUA6NLw09EwE0CqkOc4q9oUmW1yo/edit?usp=sharing"",""น่าน!I319"")"),30)</f>
        <v>30</v>
      </c>
      <c r="J424" s="393">
        <f ca="1">IFERROR(__xludf.DUMMYFUNCTION("IMPORTRANGE(""https://docs.google.com/spreadsheets/d/11923uPwbBZFjjGgGUA6NLw09EwE0CqkOc4q9oUmW1yo/edit?usp=sharing"",""น่าน!J319"")"),30)</f>
        <v>30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IFERROR(__xludf.DUMMYFUNCTION("IMPORTRANGE(""https://docs.google.com/spreadsheets/d/11923uPwbBZFjjGgGUA6NLw09EwE0CqkOc4q9oUmW1yo/edit?usp=sharing"",""น่าน!I320"")"),30)</f>
        <v>30</v>
      </c>
      <c r="J425" s="393">
        <f ca="1">IFERROR(__xludf.DUMMYFUNCTION("IMPORTRANGE(""https://docs.google.com/spreadsheets/d/11923uPwbBZFjjGgGUA6NLw09EwE0CqkOc4q9oUmW1yo/edit?usp=sharing"",""น่าน!J320"")"),0)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IFERROR(__xludf.DUMMYFUNCTION("IMPORTRANGE(""https://docs.google.com/spreadsheets/d/11923uPwbBZFjjGgGUA6NLw09EwE0CqkOc4q9oUmW1yo/edit?usp=sharing"",""น่าน!I321"")"),10)</f>
        <v>10</v>
      </c>
      <c r="J426" s="391">
        <f ca="1">IFERROR(__xludf.DUMMYFUNCTION("IMPORTRANGE(""https://docs.google.com/spreadsheets/d/11923uPwbBZFjjGgGUA6NLw09EwE0CqkOc4q9oUmW1yo/edit?usp=sharing"",""น่าน!J321"")"),10)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IFERROR(__xludf.DUMMYFUNCTION("IMPORTRANGE(""https://docs.google.com/spreadsheets/d/11923uPwbBZFjjGgGUA6NLw09EwE0CqkOc4q9oUmW1yo/edit?usp=sharing"",""น่าน!I322"")"),30)</f>
        <v>30</v>
      </c>
      <c r="J427" s="392">
        <f ca="1">IFERROR(__xludf.DUMMYFUNCTION("IMPORTRANGE(""https://docs.google.com/spreadsheets/d/11923uPwbBZFjjGgGUA6NLw09EwE0CqkOc4q9oUmW1yo/edit?usp=sharing"",""น่าน!J322"")"),30)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IFERROR(__xludf.DUMMYFUNCTION("IMPORTRANGE(""https://docs.google.com/spreadsheets/d/11923uPwbBZFjjGgGUA6NLw09EwE0CqkOc4q9oUmW1yo/edit?usp=sharing"",""น่าน!I323"")"),10)</f>
        <v>10</v>
      </c>
      <c r="J428" s="393">
        <f ca="1">IFERROR(__xludf.DUMMYFUNCTION("IMPORTRANGE(""https://docs.google.com/spreadsheets/d/11923uPwbBZFjjGgGUA6NLw09EwE0CqkOc4q9oUmW1yo/edit?usp=sharing"",""น่าน!J323"")"),10)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IFERROR(__xludf.DUMMYFUNCTION("IMPORTRANGE(""https://docs.google.com/spreadsheets/d/11923uPwbBZFjjGgGUA6NLw09EwE0CqkOc4q9oUmW1yo/edit?usp=sharing"",""น่าน!I324"")"),10)</f>
        <v>10</v>
      </c>
      <c r="J429" s="393">
        <f ca="1">IFERROR(__xludf.DUMMYFUNCTION("IMPORTRANGE(""https://docs.google.com/spreadsheets/d/11923uPwbBZFjjGgGUA6NLw09EwE0CqkOc4q9oUmW1yo/edit?usp=sharing"",""น่าน!J324"")"),10)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IFERROR(__xludf.DUMMYFUNCTION("IMPORTRANGE(""https://docs.google.com/spreadsheets/d/11923uPwbBZFjjGgGUA6NLw09EwE0CqkOc4q9oUmW1yo/edit?usp=sharing"",""น่าน!I325"")"),40)</f>
        <v>40</v>
      </c>
      <c r="J430" s="391">
        <f ca="1">IFERROR(__xludf.DUMMYFUNCTION("IMPORTRANGE(""https://docs.google.com/spreadsheets/d/11923uPwbBZFjjGgGUA6NLw09EwE0CqkOc4q9oUmW1yo/edit?usp=sharing"",""น่าน!J325"")"),0)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IFERROR(__xludf.DUMMYFUNCTION("IMPORTRANGE(""https://docs.google.com/spreadsheets/d/11923uPwbBZFjjGgGUA6NLw09EwE0CqkOc4q9oUmW1yo/edit?usp=sharing"",""น่าน!I326"")"),10)</f>
        <v>10</v>
      </c>
      <c r="J431" s="393">
        <f ca="1">IFERROR(__xludf.DUMMYFUNCTION("IMPORTRANGE(""https://docs.google.com/spreadsheets/d/11923uPwbBZFjjGgGUA6NLw09EwE0CqkOc4q9oUmW1yo/edit?usp=sharing"",""น่าน!J326"")"),0)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IFERROR(__xludf.DUMMYFUNCTION("IMPORTRANGE(""https://docs.google.com/spreadsheets/d/11923uPwbBZFjjGgGUA6NLw09EwE0CqkOc4q9oUmW1yo/edit?usp=sharing"",""น่าน!I327"")"),30)</f>
        <v>30</v>
      </c>
      <c r="J432" s="393">
        <f ca="1">IFERROR(__xludf.DUMMYFUNCTION("IMPORTRANGE(""https://docs.google.com/spreadsheets/d/11923uPwbBZFjjGgGUA6NLw09EwE0CqkOc4q9oUmW1yo/edit?usp=sharing"",""น่าน!J327"")"),0)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IFERROR(__xludf.DUMMYFUNCTION("IMPORTRANGE(""https://docs.google.com/spreadsheets/d/11923uPwbBZFjjGgGUA6NLw09EwE0CqkOc4q9oUmW1yo/edit?usp=sharing"",""น่าน!J328"")"),0)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IFERROR(__xludf.DUMMYFUNCTION("IMPORTRANGE(""https://docs.google.com/spreadsheets/d/11923uPwbBZFjjGgGUA6NLw09EwE0CqkOc4q9oUmW1yo/edit?usp=sharing"",""น่าน!J329"")"),0)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IFERROR(__xludf.DUMMYFUNCTION("IMPORTRANGE(""https://docs.google.com/spreadsheets/d/11923uPwbBZFjjGgGUA6NLw09EwE0CqkOc4q9oUmW1yo/edit?usp=sharing"",""น่าน!I330"")"),35)</f>
        <v>35</v>
      </c>
      <c r="J435" s="409">
        <f ca="1">IFERROR(__xludf.DUMMYFUNCTION("IMPORTRANGE(""https://docs.google.com/spreadsheets/d/11923uPwbBZFjjGgGUA6NLw09EwE0CqkOc4q9oUmW1yo/edit?usp=sharing"",""น่าน!J330"")"),35)</f>
        <v>35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IFERROR(__xludf.DUMMYFUNCTION("IMPORTRANGE(""https://docs.google.com/spreadsheets/d/11923uPwbBZFjjGgGUA6NLw09EwE0CqkOc4q9oUmW1yo/edit?usp=sharing"",""น่าน!L330"")"),128800)</f>
        <v>128800</v>
      </c>
      <c r="M435" s="411"/>
      <c r="N435" s="411">
        <f ca="1">IFERROR(__xludf.DUMMYFUNCTION("IMPORTRANGE(""https://docs.google.com/spreadsheets/d/11923uPwbBZFjjGgGUA6NLw09EwE0CqkOc4q9oUmW1yo/edit?usp=sharing"",""น่าน!M330"")"),88040)</f>
        <v>88040</v>
      </c>
      <c r="O435" s="411">
        <f t="shared" ref="O435:O439" ca="1" si="114">+IF(L435&gt;0,N435*100/L435,0)</f>
        <v>68.354037267080741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IFERROR(__xludf.DUMMYFUNCTION("IMPORTRANGE(""https://docs.google.com/spreadsheets/d/11923uPwbBZFjjGgGUA6NLw09EwE0CqkOc4q9oUmW1yo/edit?usp=sharing"",""น่าน!L331"")"),0)</f>
        <v>0</v>
      </c>
      <c r="M436" s="164"/>
      <c r="N436" s="168">
        <f ca="1">IFERROR(__xludf.DUMMYFUNCTION("IMPORTRANGE(""https://docs.google.com/spreadsheets/d/11923uPwbBZFjjGgGUA6NLw09EwE0CqkOc4q9oUmW1yo/edit?usp=sharing"",""น่าน!M331"")"),0)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IFERROR(__xludf.DUMMYFUNCTION("IMPORTRANGE(""https://docs.google.com/spreadsheets/d/11923uPwbBZFjjGgGUA6NLw09EwE0CqkOc4q9oUmW1yo/edit?usp=sharing"",""น่าน!L332"")"),128800)</f>
        <v>128800</v>
      </c>
      <c r="M437" s="165"/>
      <c r="N437" s="168">
        <f ca="1">IFERROR(__xludf.DUMMYFUNCTION("IMPORTRANGE(""https://docs.google.com/spreadsheets/d/11923uPwbBZFjjGgGUA6NLw09EwE0CqkOc4q9oUmW1yo/edit?usp=sharing"",""น่าน!M332"")"),88040)</f>
        <v>88040</v>
      </c>
      <c r="O437" s="168">
        <f t="shared" ca="1" si="114"/>
        <v>68.354037267080741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IFERROR(__xludf.DUMMYFUNCTION("IMPORTRANGE(""https://docs.google.com/spreadsheets/d/11923uPwbBZFjjGgGUA6NLw09EwE0CqkOc4q9oUmW1yo/edit?usp=sharing"",""น่าน!L333"")"),0)</f>
        <v>0</v>
      </c>
      <c r="M438" s="168"/>
      <c r="N438" s="168">
        <f ca="1">IFERROR(__xludf.DUMMYFUNCTION("IMPORTRANGE(""https://docs.google.com/spreadsheets/d/11923uPwbBZFjjGgGUA6NLw09EwE0CqkOc4q9oUmW1yo/edit?usp=sharing"",""น่าน!M333"")"),0)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IFERROR(__xludf.DUMMYFUNCTION("IMPORTRANGE(""https://docs.google.com/spreadsheets/d/11923uPwbBZFjjGgGUA6NLw09EwE0CqkOc4q9oUmW1yo/edit?usp=sharing"",""น่าน!L334"")"),128800)</f>
        <v>128800</v>
      </c>
      <c r="M439" s="168"/>
      <c r="N439" s="168">
        <f ca="1">IFERROR(__xludf.DUMMYFUNCTION("IMPORTRANGE(""https://docs.google.com/spreadsheets/d/11923uPwbBZFjjGgGUA6NLw09EwE0CqkOc4q9oUmW1yo/edit?usp=sharing"",""น่าน!M334"")"),88040)</f>
        <v>88040</v>
      </c>
      <c r="O439" s="168">
        <f t="shared" ca="1" si="114"/>
        <v>68.354037267080741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IFERROR(__xludf.DUMMYFUNCTION("IMPORTRANGE(""https://docs.google.com/spreadsheets/d/11923uPwbBZFjjGgGUA6NLw09EwE0CqkOc4q9oUmW1yo/edit?usp=sharing"",""น่าน!M335"")"),78000)</f>
        <v>78000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IFERROR(__xludf.DUMMYFUNCTION("IMPORTRANGE(""https://docs.google.com/spreadsheets/d/11923uPwbBZFjjGgGUA6NLw09EwE0CqkOc4q9oUmW1yo/edit?usp=sharing"",""น่าน!M336"")"),0)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IFERROR(__xludf.DUMMYFUNCTION("IMPORTRANGE(""https://docs.google.com/spreadsheets/d/11923uPwbBZFjjGgGUA6NLw09EwE0CqkOc4q9oUmW1yo/edit?usp=sharing"",""น่าน!M337"")"),0)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IFERROR(__xludf.DUMMYFUNCTION("IMPORTRANGE(""https://docs.google.com/spreadsheets/d/11923uPwbBZFjjGgGUA6NLw09EwE0CqkOc4q9oUmW1yo/edit?usp=sharing"",""น่าน!M338"")"),10040)</f>
        <v>10040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IFERROR(__xludf.DUMMYFUNCTION("IMPORTRANGE(""https://docs.google.com/spreadsheets/d/11923uPwbBZFjjGgGUA6NLw09EwE0CqkOc4q9oUmW1yo/edit?usp=sharing"",""น่าน!J340"")"),0)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IFERROR(__xludf.DUMMYFUNCTION("IMPORTRANGE(""https://docs.google.com/spreadsheets/d/11923uPwbBZFjjGgGUA6NLw09EwE0CqkOc4q9oUmW1yo/edit?usp=sharing"",""น่าน!J341"")"),1)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IFERROR(__xludf.DUMMYFUNCTION("IMPORTRANGE(""https://docs.google.com/spreadsheets/d/11923uPwbBZFjjGgGUA6NLw09EwE0CqkOc4q9oUmW1yo/edit?usp=sharing"",""น่าน!J342"")"),1)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IFERROR(__xludf.DUMMYFUNCTION("IMPORTRANGE(""https://docs.google.com/spreadsheets/d/11923uPwbBZFjjGgGUA6NLw09EwE0CqkOc4q9oUmW1yo/edit?usp=sharing"",""น่าน!J343"")"),1)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IFERROR(__xludf.DUMMYFUNCTION("IMPORTRANGE(""https://docs.google.com/spreadsheets/d/11923uPwbBZFjjGgGUA6NLw09EwE0CqkOc4q9oUmW1yo/edit?usp=sharing"",""น่าน!I344"")"),35)</f>
        <v>35</v>
      </c>
      <c r="J449" s="200">
        <f ca="1">IFERROR(__xludf.DUMMYFUNCTION("IMPORTRANGE(""https://docs.google.com/spreadsheets/d/11923uPwbBZFjjGgGUA6NLw09EwE0CqkOc4q9oUmW1yo/edit?usp=sharing"",""น่าน!J344"")"),35)</f>
        <v>35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IFERROR(__xludf.DUMMYFUNCTION("IMPORTRANGE(""https://docs.google.com/spreadsheets/d/11923uPwbBZFjjGgGUA6NLw09EwE0CqkOc4q9oUmW1yo/edit?usp=sharing"",""น่าน!I345"")"),15)</f>
        <v>15</v>
      </c>
      <c r="J450" s="188">
        <f ca="1">IFERROR(__xludf.DUMMYFUNCTION("IMPORTRANGE(""https://docs.google.com/spreadsheets/d/11923uPwbBZFjjGgGUA6NLw09EwE0CqkOc4q9oUmW1yo/edit?usp=sharing"",""น่าน!J345"")"),15)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IFERROR(__xludf.DUMMYFUNCTION("IMPORTRANGE(""https://docs.google.com/spreadsheets/d/11923uPwbBZFjjGgGUA6NLw09EwE0CqkOc4q9oUmW1yo/edit?usp=sharing"",""น่าน!I346"")"),20)</f>
        <v>20</v>
      </c>
      <c r="J451" s="187">
        <f ca="1">IFERROR(__xludf.DUMMYFUNCTION("IMPORTRANGE(""https://docs.google.com/spreadsheets/d/11923uPwbBZFjjGgGUA6NLw09EwE0CqkOc4q9oUmW1yo/edit?usp=sharing"",""น่าน!J346"")"),20)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IFERROR(__xludf.DUMMYFUNCTION("IMPORTRANGE(""https://docs.google.com/spreadsheets/d/11923uPwbBZFjjGgGUA6NLw09EwE0CqkOc4q9oUmW1yo/edit?usp=sharing"",""น่าน!I347"")"),0)</f>
        <v>0</v>
      </c>
      <c r="J452" s="187">
        <f ca="1">IFERROR(__xludf.DUMMYFUNCTION("IMPORTRANGE(""https://docs.google.com/spreadsheets/d/11923uPwbBZFjjGgGUA6NLw09EwE0CqkOc4q9oUmW1yo/edit?usp=sharing"",""น่าน!J347"")"),0)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IFERROR(__xludf.DUMMYFUNCTION("IMPORTRANGE(""https://docs.google.com/spreadsheets/d/11923uPwbBZFjjGgGUA6NLw09EwE0CqkOc4q9oUmW1yo/edit?usp=sharing"",""น่าน!J348"")"),0)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IFERROR(__xludf.DUMMYFUNCTION("IMPORTRANGE(""https://docs.google.com/spreadsheets/d/11923uPwbBZFjjGgGUA6NLw09EwE0CqkOc4q9oUmW1yo/edit?usp=sharing"",""น่าน!J349"")"),0)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IFERROR(__xludf.DUMMYFUNCTION("IMPORTRANGE(""https://docs.google.com/spreadsheets/d/11923uPwbBZFjjGgGUA6NLw09EwE0CqkOc4q9oUmW1yo/edit?usp=sharing"",""น่าน!I350"")"),56567)</f>
        <v>56567</v>
      </c>
      <c r="J455" s="370">
        <f ca="1">IFERROR(__xludf.DUMMYFUNCTION("IMPORTRANGE(""https://docs.google.com/spreadsheets/d/11923uPwbBZFjjGgGUA6NLw09EwE0CqkOc4q9oUmW1yo/edit?usp=sharing"",""น่าน!J350"")"),56593.38)</f>
        <v>56593.38</v>
      </c>
      <c r="K455" s="371">
        <f ca="1">IF(I455&gt;0,J455*100/I455,0)</f>
        <v>100.04663496384818</v>
      </c>
      <c r="L455" s="372">
        <f ca="1">IFERROR(__xludf.DUMMYFUNCTION("IMPORTRANGE(""https://docs.google.com/spreadsheets/d/11923uPwbBZFjjGgGUA6NLw09EwE0CqkOc4q9oUmW1yo/edit?usp=sharing"",""น่าน!L350"")"),616854)</f>
        <v>616854</v>
      </c>
      <c r="M455" s="372"/>
      <c r="N455" s="372">
        <f ca="1">IFERROR(__xludf.DUMMYFUNCTION("IMPORTRANGE(""https://docs.google.com/spreadsheets/d/11923uPwbBZFjjGgGUA6NLw09EwE0CqkOc4q9oUmW1yo/edit?usp=sharing"",""น่าน!M350"")"),128457)</f>
        <v>128457</v>
      </c>
      <c r="O455" s="372">
        <f t="shared" ref="O455:O459" ca="1" si="116">+IF(L455&gt;0,N455*100/L455,0)</f>
        <v>20.824538707700686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IFERROR(__xludf.DUMMYFUNCTION("IMPORTRANGE(""https://docs.google.com/spreadsheets/d/11923uPwbBZFjjGgGUA6NLw09EwE0CqkOc4q9oUmW1yo/edit?usp=sharing"",""น่าน!L351"")"),0)</f>
        <v>0</v>
      </c>
      <c r="M456" s="164"/>
      <c r="N456" s="168">
        <f ca="1">IFERROR(__xludf.DUMMYFUNCTION("IMPORTRANGE(""https://docs.google.com/spreadsheets/d/11923uPwbBZFjjGgGUA6NLw09EwE0CqkOc4q9oUmW1yo/edit?usp=sharing"",""น่าน!M351"")"),0)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IFERROR(__xludf.DUMMYFUNCTION("IMPORTRANGE(""https://docs.google.com/spreadsheets/d/11923uPwbBZFjjGgGUA6NLw09EwE0CqkOc4q9oUmW1yo/edit?usp=sharing"",""น่าน!L352"")"),616854)</f>
        <v>616854</v>
      </c>
      <c r="M457" s="165"/>
      <c r="N457" s="168">
        <f ca="1">IFERROR(__xludf.DUMMYFUNCTION("IMPORTRANGE(""https://docs.google.com/spreadsheets/d/11923uPwbBZFjjGgGUA6NLw09EwE0CqkOc4q9oUmW1yo/edit?usp=sharing"",""น่าน!M352"")"),128457)</f>
        <v>128457</v>
      </c>
      <c r="O457" s="168">
        <f t="shared" ca="1" si="116"/>
        <v>20.824538707700686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IFERROR(__xludf.DUMMYFUNCTION("IMPORTRANGE(""https://docs.google.com/spreadsheets/d/11923uPwbBZFjjGgGUA6NLw09EwE0CqkOc4q9oUmW1yo/edit?usp=sharing"",""น่าน!L353"")"),0)</f>
        <v>0</v>
      </c>
      <c r="M458" s="168"/>
      <c r="N458" s="168">
        <f ca="1">IFERROR(__xludf.DUMMYFUNCTION("IMPORTRANGE(""https://docs.google.com/spreadsheets/d/11923uPwbBZFjjGgGUA6NLw09EwE0CqkOc4q9oUmW1yo/edit?usp=sharing"",""น่าน!M353"")"),0)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IFERROR(__xludf.DUMMYFUNCTION("IMPORTRANGE(""https://docs.google.com/spreadsheets/d/11923uPwbBZFjjGgGUA6NLw09EwE0CqkOc4q9oUmW1yo/edit?usp=sharing"",""น่าน!L354"")"),616854)</f>
        <v>616854</v>
      </c>
      <c r="M459" s="168"/>
      <c r="N459" s="168">
        <f ca="1">IFERROR(__xludf.DUMMYFUNCTION("IMPORTRANGE(""https://docs.google.com/spreadsheets/d/11923uPwbBZFjjGgGUA6NLw09EwE0CqkOc4q9oUmW1yo/edit?usp=sharing"",""น่าน!M354"")"),128457)</f>
        <v>128457</v>
      </c>
      <c r="O459" s="168">
        <f t="shared" ca="1" si="116"/>
        <v>20.824538707700686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IFERROR(__xludf.DUMMYFUNCTION("IMPORTRANGE(""https://docs.google.com/spreadsheets/d/11923uPwbBZFjjGgGUA6NLw09EwE0CqkOc4q9oUmW1yo/edit?usp=sharing"",""น่าน!M355"")"),0)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IFERROR(__xludf.DUMMYFUNCTION("IMPORTRANGE(""https://docs.google.com/spreadsheets/d/11923uPwbBZFjjGgGUA6NLw09EwE0CqkOc4q9oUmW1yo/edit?usp=sharing"",""น่าน!M356"")"),0)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IFERROR(__xludf.DUMMYFUNCTION("IMPORTRANGE(""https://docs.google.com/spreadsheets/d/11923uPwbBZFjjGgGUA6NLw09EwE0CqkOc4q9oUmW1yo/edit?usp=sharing"",""น่าน!M357"")"),72957)</f>
        <v>72957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IFERROR(__xludf.DUMMYFUNCTION("IMPORTRANGE(""https://docs.google.com/spreadsheets/d/11923uPwbBZFjjGgGUA6NLw09EwE0CqkOc4q9oUmW1yo/edit?usp=sharing"",""น่าน!M358"")"),55500)</f>
        <v>55500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IFERROR(__xludf.DUMMYFUNCTION("IMPORTRANGE(""https://docs.google.com/spreadsheets/d/11923uPwbBZFjjGgGUA6NLw09EwE0CqkOc4q9oUmW1yo/edit?usp=sharing"",""น่าน!I359"")"),56567)</f>
        <v>56567</v>
      </c>
      <c r="J464" s="267">
        <f ca="1">IFERROR(__xludf.DUMMYFUNCTION("IMPORTRANGE(""https://docs.google.com/spreadsheets/d/11923uPwbBZFjjGgGUA6NLw09EwE0CqkOc4q9oUmW1yo/edit?usp=sharing"",""น่าน!J359"")"),56593.38)</f>
        <v>56593.38</v>
      </c>
      <c r="K464" s="268">
        <f t="shared" ref="K464:K515" ca="1" si="117">IF(I464&gt;0,J464*100/I464,0)</f>
        <v>100.04663496384818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IFERROR(__xludf.DUMMYFUNCTION("IMPORTRANGE(""https://docs.google.com/spreadsheets/d/11923uPwbBZFjjGgGUA6NLw09EwE0CqkOc4q9oUmW1yo/edit?usp=sharing"",""น่าน!I360"")"),56567)</f>
        <v>56567</v>
      </c>
      <c r="J465" s="420">
        <f ca="1">IFERROR(__xludf.DUMMYFUNCTION("IMPORTRANGE(""https://docs.google.com/spreadsheets/d/11923uPwbBZFjjGgGUA6NLw09EwE0CqkOc4q9oUmW1yo/edit?usp=sharing"",""น่าน!J360"")"),56592)</f>
        <v>56592</v>
      </c>
      <c r="K465" s="201">
        <f t="shared" ca="1" si="117"/>
        <v>100.04419537893118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IFERROR(__xludf.DUMMYFUNCTION("IMPORTRANGE(""https://docs.google.com/spreadsheets/d/11923uPwbBZFjjGgGUA6NLw09EwE0CqkOc4q9oUmW1yo/edit?usp=sharing"",""น่าน!I361"")"),9077)</f>
        <v>9077</v>
      </c>
      <c r="J466" s="420">
        <f ca="1">IFERROR(__xludf.DUMMYFUNCTION("IMPORTRANGE(""https://docs.google.com/spreadsheets/d/11923uPwbBZFjjGgGUA6NLw09EwE0CqkOc4q9oUmW1yo/edit?usp=sharing"",""น่าน!J361"")"),9077)</f>
        <v>9077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IFERROR(__xludf.DUMMYFUNCTION("IMPORTRANGE(""https://docs.google.com/spreadsheets/d/11923uPwbBZFjjGgGUA6NLw09EwE0CqkOc4q9oUmW1yo/edit?usp=sharing"",""น่าน!I362"")"),0)</f>
        <v>0</v>
      </c>
      <c r="J467" s="188">
        <f ca="1">IFERROR(__xludf.DUMMYFUNCTION("IMPORTRANGE(""https://docs.google.com/spreadsheets/d/11923uPwbBZFjjGgGUA6NLw09EwE0CqkOc4q9oUmW1yo/edit?usp=sharing"",""น่าน!J362"")"),52753)</f>
        <v>52753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IFERROR(__xludf.DUMMYFUNCTION("IMPORTRANGE(""https://docs.google.com/spreadsheets/d/11923uPwbBZFjjGgGUA6NLw09EwE0CqkOc4q9oUmW1yo/edit?usp=sharing"",""น่าน!I363"")"),0)</f>
        <v>0</v>
      </c>
      <c r="J468" s="188">
        <f ca="1">IFERROR(__xludf.DUMMYFUNCTION("IMPORTRANGE(""https://docs.google.com/spreadsheets/d/11923uPwbBZFjjGgGUA6NLw09EwE0CqkOc4q9oUmW1yo/edit?usp=sharing"",""น่าน!J363"")"),8626)</f>
        <v>8626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IFERROR(__xludf.DUMMYFUNCTION("IMPORTRANGE(""https://docs.google.com/spreadsheets/d/11923uPwbBZFjjGgGUA6NLw09EwE0CqkOc4q9oUmW1yo/edit?usp=sharing"",""น่าน!I364"")"),0)</f>
        <v>0</v>
      </c>
      <c r="J469" s="188">
        <f ca="1">IFERROR(__xludf.DUMMYFUNCTION("IMPORTRANGE(""https://docs.google.com/spreadsheets/d/11923uPwbBZFjjGgGUA6NLw09EwE0CqkOc4q9oUmW1yo/edit?usp=sharing"",""น่าน!J364"")"),3269)</f>
        <v>3269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IFERROR(__xludf.DUMMYFUNCTION("IMPORTRANGE(""https://docs.google.com/spreadsheets/d/11923uPwbBZFjjGgGUA6NLw09EwE0CqkOc4q9oUmW1yo/edit?usp=sharing"",""น่าน!I365"")"),0)</f>
        <v>0</v>
      </c>
      <c r="J470" s="188">
        <f ca="1">IFERROR(__xludf.DUMMYFUNCTION("IMPORTRANGE(""https://docs.google.com/spreadsheets/d/11923uPwbBZFjjGgGUA6NLw09EwE0CqkOc4q9oUmW1yo/edit?usp=sharing"",""น่าน!J365"")"),345)</f>
        <v>345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IFERROR(__xludf.DUMMYFUNCTION("IMPORTRANGE(""https://docs.google.com/spreadsheets/d/11923uPwbBZFjjGgGUA6NLw09EwE0CqkOc4q9oUmW1yo/edit?usp=sharing"",""น่าน!I366"")"),0)</f>
        <v>0</v>
      </c>
      <c r="J471" s="188">
        <f ca="1">IFERROR(__xludf.DUMMYFUNCTION("IMPORTRANGE(""https://docs.google.com/spreadsheets/d/11923uPwbBZFjjGgGUA6NLw09EwE0CqkOc4q9oUmW1yo/edit?usp=sharing"",""น่าน!J366"")"),570)</f>
        <v>570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IFERROR(__xludf.DUMMYFUNCTION("IMPORTRANGE(""https://docs.google.com/spreadsheets/d/11923uPwbBZFjjGgGUA6NLw09EwE0CqkOc4q9oUmW1yo/edit?usp=sharing"",""น่าน!I367"")"),0)</f>
        <v>0</v>
      </c>
      <c r="J472" s="188">
        <f ca="1">IFERROR(__xludf.DUMMYFUNCTION("IMPORTRANGE(""https://docs.google.com/spreadsheets/d/11923uPwbBZFjjGgGUA6NLw09EwE0CqkOc4q9oUmW1yo/edit?usp=sharing"",""น่าน!J367"")"),106)</f>
        <v>106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IFERROR(__xludf.DUMMYFUNCTION("IMPORTRANGE(""https://docs.google.com/spreadsheets/d/11923uPwbBZFjjGgGUA6NLw09EwE0CqkOc4q9oUmW1yo/edit?usp=sharing"",""น่าน!I368"")"),56567)</f>
        <v>56567</v>
      </c>
      <c r="J473" s="420">
        <f ca="1">IFERROR(__xludf.DUMMYFUNCTION("IMPORTRANGE(""https://docs.google.com/spreadsheets/d/11923uPwbBZFjjGgGUA6NLw09EwE0CqkOc4q9oUmW1yo/edit?usp=sharing"",""น่าน!J368"")"),56592.9399999999)</f>
        <v>56592.9399999999</v>
      </c>
      <c r="K473" s="201">
        <f t="shared" ca="1" si="117"/>
        <v>100.04585712517881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IFERROR(__xludf.DUMMYFUNCTION("IMPORTRANGE(""https://docs.google.com/spreadsheets/d/11923uPwbBZFjjGgGUA6NLw09EwE0CqkOc4q9oUmW1yo/edit?usp=sharing"",""น่าน!I369"")"),9077)</f>
        <v>9077</v>
      </c>
      <c r="J474" s="420">
        <f ca="1">IFERROR(__xludf.DUMMYFUNCTION("IMPORTRANGE(""https://docs.google.com/spreadsheets/d/11923uPwbBZFjjGgGUA6NLw09EwE0CqkOc4q9oUmW1yo/edit?usp=sharing"",""น่าน!J369"")"),9077)</f>
        <v>9077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IFERROR(__xludf.DUMMYFUNCTION("IMPORTRANGE(""https://docs.google.com/spreadsheets/d/11923uPwbBZFjjGgGUA6NLw09EwE0CqkOc4q9oUmW1yo/edit?usp=sharing"",""น่าน!I370"")"),0)</f>
        <v>0</v>
      </c>
      <c r="J475" s="188">
        <f ca="1">IFERROR(__xludf.DUMMYFUNCTION("IMPORTRANGE(""https://docs.google.com/spreadsheets/d/11923uPwbBZFjjGgGUA6NLw09EwE0CqkOc4q9oUmW1yo/edit?usp=sharing"",""น่าน!J370"")"),54262.56)</f>
        <v>54262.559999999998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IFERROR(__xludf.DUMMYFUNCTION("IMPORTRANGE(""https://docs.google.com/spreadsheets/d/11923uPwbBZFjjGgGUA6NLw09EwE0CqkOc4q9oUmW1yo/edit?usp=sharing"",""น่าน!I371"")"),0)</f>
        <v>0</v>
      </c>
      <c r="J476" s="188">
        <f ca="1">IFERROR(__xludf.DUMMYFUNCTION("IMPORTRANGE(""https://docs.google.com/spreadsheets/d/11923uPwbBZFjjGgGUA6NLw09EwE0CqkOc4q9oUmW1yo/edit?usp=sharing"",""น่าน!J371"")"),8784)</f>
        <v>8784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IFERROR(__xludf.DUMMYFUNCTION("IMPORTRANGE(""https://docs.google.com/spreadsheets/d/11923uPwbBZFjjGgGUA6NLw09EwE0CqkOc4q9oUmW1yo/edit?usp=sharing"",""น่าน!I372"")"),0)</f>
        <v>0</v>
      </c>
      <c r="J477" s="188">
        <f ca="1">IFERROR(__xludf.DUMMYFUNCTION("IMPORTRANGE(""https://docs.google.com/spreadsheets/d/11923uPwbBZFjjGgGUA6NLw09EwE0CqkOc4q9oUmW1yo/edit?usp=sharing"",""น่าน!J372"")"),1776.21)</f>
        <v>1776.21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IFERROR(__xludf.DUMMYFUNCTION("IMPORTRANGE(""https://docs.google.com/spreadsheets/d/11923uPwbBZFjjGgGUA6NLw09EwE0CqkOc4q9oUmW1yo/edit?usp=sharing"",""น่าน!I373"")"),0)</f>
        <v>0</v>
      </c>
      <c r="J478" s="188">
        <f ca="1">IFERROR(__xludf.DUMMYFUNCTION("IMPORTRANGE(""https://docs.google.com/spreadsheets/d/11923uPwbBZFjjGgGUA6NLw09EwE0CqkOc4q9oUmW1yo/edit?usp=sharing"",""น่าน!J373"")"),190)</f>
        <v>190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IFERROR(__xludf.DUMMYFUNCTION("IMPORTRANGE(""https://docs.google.com/spreadsheets/d/11923uPwbBZFjjGgGUA6NLw09EwE0CqkOc4q9oUmW1yo/edit?usp=sharing"",""น่าน!I374"")"),0)</f>
        <v>0</v>
      </c>
      <c r="J479" s="188">
        <f ca="1">IFERROR(__xludf.DUMMYFUNCTION("IMPORTRANGE(""https://docs.google.com/spreadsheets/d/11923uPwbBZFjjGgGUA6NLw09EwE0CqkOc4q9oUmW1yo/edit?usp=sharing"",""น่าน!J374"")"),554.17)</f>
        <v>554.16999999999996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IFERROR(__xludf.DUMMYFUNCTION("IMPORTRANGE(""https://docs.google.com/spreadsheets/d/11923uPwbBZFjjGgGUA6NLw09EwE0CqkOc4q9oUmW1yo/edit?usp=sharing"",""น่าน!I375"")"),0)</f>
        <v>0</v>
      </c>
      <c r="J480" s="188">
        <f ca="1">IFERROR(__xludf.DUMMYFUNCTION("IMPORTRANGE(""https://docs.google.com/spreadsheets/d/11923uPwbBZFjjGgGUA6NLw09EwE0CqkOc4q9oUmW1yo/edit?usp=sharing"",""น่าน!J375"")"),103)</f>
        <v>103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IFERROR(__xludf.DUMMYFUNCTION("IMPORTRANGE(""https://docs.google.com/spreadsheets/d/11923uPwbBZFjjGgGUA6NLw09EwE0CqkOc4q9oUmW1yo/edit?usp=sharing"",""น่าน!I376"")"),56567)</f>
        <v>56567</v>
      </c>
      <c r="J481" s="420">
        <f ca="1">IFERROR(__xludf.DUMMYFUNCTION("IMPORTRANGE(""https://docs.google.com/spreadsheets/d/11923uPwbBZFjjGgGUA6NLw09EwE0CqkOc4q9oUmW1yo/edit?usp=sharing"",""น่าน!J376"")"),56593.38)</f>
        <v>56593.38</v>
      </c>
      <c r="K481" s="201">
        <f t="shared" ca="1" si="117"/>
        <v>100.04663496384818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IFERROR(__xludf.DUMMYFUNCTION("IMPORTRANGE(""https://docs.google.com/spreadsheets/d/11923uPwbBZFjjGgGUA6NLw09EwE0CqkOc4q9oUmW1yo/edit?usp=sharing"",""น่าน!I377"")"),9077)</f>
        <v>9077</v>
      </c>
      <c r="J482" s="420">
        <f ca="1">IFERROR(__xludf.DUMMYFUNCTION("IMPORTRANGE(""https://docs.google.com/spreadsheets/d/11923uPwbBZFjjGgGUA6NLw09EwE0CqkOc4q9oUmW1yo/edit?usp=sharing"",""น่าน!J377"")"),9077)</f>
        <v>9077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IFERROR(__xludf.DUMMYFUNCTION("IMPORTRANGE(""https://docs.google.com/spreadsheets/d/11923uPwbBZFjjGgGUA6NLw09EwE0CqkOc4q9oUmW1yo/edit?usp=sharing"",""น่าน!I378"")"),0)</f>
        <v>0</v>
      </c>
      <c r="J483" s="188">
        <f ca="1">IFERROR(__xludf.DUMMYFUNCTION("IMPORTRANGE(""https://docs.google.com/spreadsheets/d/11923uPwbBZFjjGgGUA6NLw09EwE0CqkOc4q9oUmW1yo/edit?usp=sharing"",""น่าน!J378"")"),54263)</f>
        <v>54263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IFERROR(__xludf.DUMMYFUNCTION("IMPORTRANGE(""https://docs.google.com/spreadsheets/d/11923uPwbBZFjjGgGUA6NLw09EwE0CqkOc4q9oUmW1yo/edit?usp=sharing"",""น่าน!I379"")"),0)</f>
        <v>0</v>
      </c>
      <c r="J484" s="188">
        <f ca="1">IFERROR(__xludf.DUMMYFUNCTION("IMPORTRANGE(""https://docs.google.com/spreadsheets/d/11923uPwbBZFjjGgGUA6NLw09EwE0CqkOc4q9oUmW1yo/edit?usp=sharing"",""น่าน!J379"")"),8784)</f>
        <v>8784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IFERROR(__xludf.DUMMYFUNCTION("IMPORTRANGE(""https://docs.google.com/spreadsheets/d/11923uPwbBZFjjGgGUA6NLw09EwE0CqkOc4q9oUmW1yo/edit?usp=sharing"",""น่าน!I380"")"),0)</f>
        <v>0</v>
      </c>
      <c r="J485" s="188">
        <f ca="1">IFERROR(__xludf.DUMMYFUNCTION("IMPORTRANGE(""https://docs.google.com/spreadsheets/d/11923uPwbBZFjjGgGUA6NLw09EwE0CqkOc4q9oUmW1yo/edit?usp=sharing"",""น่าน!J380"")"),1748.72)</f>
        <v>1748.72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IFERROR(__xludf.DUMMYFUNCTION("IMPORTRANGE(""https://docs.google.com/spreadsheets/d/11923uPwbBZFjjGgGUA6NLw09EwE0CqkOc4q9oUmW1yo/edit?usp=sharing"",""น่าน!I381"")"),0)</f>
        <v>0</v>
      </c>
      <c r="J486" s="188">
        <f ca="1">IFERROR(__xludf.DUMMYFUNCTION("IMPORTRANGE(""https://docs.google.com/spreadsheets/d/11923uPwbBZFjjGgGUA6NLw09EwE0CqkOc4q9oUmW1yo/edit?usp=sharing"",""น่าน!J381"")"),186)</f>
        <v>186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IFERROR(__xludf.DUMMYFUNCTION("IMPORTRANGE(""https://docs.google.com/spreadsheets/d/11923uPwbBZFjjGgGUA6NLw09EwE0CqkOc4q9oUmW1yo/edit?usp=sharing"",""น่าน!I382"")"),0)</f>
        <v>0</v>
      </c>
      <c r="J487" s="420">
        <f ca="1">IFERROR(__xludf.DUMMYFUNCTION("IMPORTRANGE(""https://docs.google.com/spreadsheets/d/11923uPwbBZFjjGgGUA6NLw09EwE0CqkOc4q9oUmW1yo/edit?usp=sharing"",""น่าน!J382"")"),581.66)</f>
        <v>581.66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IFERROR(__xludf.DUMMYFUNCTION("IMPORTRANGE(""https://docs.google.com/spreadsheets/d/11923uPwbBZFjjGgGUA6NLw09EwE0CqkOc4q9oUmW1yo/edit?usp=sharing"",""น่าน!I383"")"),0)</f>
        <v>0</v>
      </c>
      <c r="J488" s="420">
        <f ca="1">IFERROR(__xludf.DUMMYFUNCTION("IMPORTRANGE(""https://docs.google.com/spreadsheets/d/11923uPwbBZFjjGgGUA6NLw09EwE0CqkOc4q9oUmW1yo/edit?usp=sharing"",""น่าน!J383"")"),107)</f>
        <v>107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IFERROR(__xludf.DUMMYFUNCTION("IMPORTRANGE(""https://docs.google.com/spreadsheets/d/11923uPwbBZFjjGgGUA6NLw09EwE0CqkOc4q9oUmW1yo/edit?usp=sharing"",""น่าน!I384"")"),0)</f>
        <v>0</v>
      </c>
      <c r="J489" s="188">
        <f ca="1">IFERROR(__xludf.DUMMYFUNCTION("IMPORTRANGE(""https://docs.google.com/spreadsheets/d/11923uPwbBZFjjGgGUA6NLw09EwE0CqkOc4q9oUmW1yo/edit?usp=sharing"",""น่าน!J384"")"),554.17)</f>
        <v>554.16999999999996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IFERROR(__xludf.DUMMYFUNCTION("IMPORTRANGE(""https://docs.google.com/spreadsheets/d/11923uPwbBZFjjGgGUA6NLw09EwE0CqkOc4q9oUmW1yo/edit?usp=sharing"",""น่าน!I385"")"),0)</f>
        <v>0</v>
      </c>
      <c r="J490" s="188">
        <f ca="1">IFERROR(__xludf.DUMMYFUNCTION("IMPORTRANGE(""https://docs.google.com/spreadsheets/d/11923uPwbBZFjjGgGUA6NLw09EwE0CqkOc4q9oUmW1yo/edit?usp=sharing"",""น่าน!J385"")"),103)</f>
        <v>103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IFERROR(__xludf.DUMMYFUNCTION("IMPORTRANGE(""https://docs.google.com/spreadsheets/d/11923uPwbBZFjjGgGUA6NLw09EwE0CqkOc4q9oUmW1yo/edit?usp=sharing"",""น่าน!I386"")"),0)</f>
        <v>0</v>
      </c>
      <c r="J491" s="188">
        <f ca="1">IFERROR(__xludf.DUMMYFUNCTION("IMPORTRANGE(""https://docs.google.com/spreadsheets/d/11923uPwbBZFjjGgGUA6NLw09EwE0CqkOc4q9oUmW1yo/edit?usp=sharing"",""น่าน!J386"")"),27.49)</f>
        <v>27.49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IFERROR(__xludf.DUMMYFUNCTION("IMPORTRANGE(""https://docs.google.com/spreadsheets/d/11923uPwbBZFjjGgGUA6NLw09EwE0CqkOc4q9oUmW1yo/edit?usp=sharing"",""น่าน!I387"")"),0)</f>
        <v>0</v>
      </c>
      <c r="J492" s="188">
        <f ca="1">IFERROR(__xludf.DUMMYFUNCTION("IMPORTRANGE(""https://docs.google.com/spreadsheets/d/11923uPwbBZFjjGgGUA6NLw09EwE0CqkOc4q9oUmW1yo/edit?usp=sharing"",""น่าน!J387"")"),4)</f>
        <v>4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IFERROR(__xludf.DUMMYFUNCTION("IMPORTRANGE(""https://docs.google.com/spreadsheets/d/11923uPwbBZFjjGgGUA6NLw09EwE0CqkOc4q9oUmW1yo/edit?usp=sharing"",""น่าน!I388"")"),0)</f>
        <v>0</v>
      </c>
      <c r="J493" s="188">
        <f ca="1">IFERROR(__xludf.DUMMYFUNCTION("IMPORTRANGE(""https://docs.google.com/spreadsheets/d/11923uPwbBZFjjGgGUA6NLw09EwE0CqkOc4q9oUmW1yo/edit?usp=sharing"",""น่าน!J388"")"),0)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IFERROR(__xludf.DUMMYFUNCTION("IMPORTRANGE(""https://docs.google.com/spreadsheets/d/11923uPwbBZFjjGgGUA6NLw09EwE0CqkOc4q9oUmW1yo/edit?usp=sharing"",""น่าน!I389"")"),0)</f>
        <v>0</v>
      </c>
      <c r="J494" s="436">
        <f ca="1">IFERROR(__xludf.DUMMYFUNCTION("IMPORTRANGE(""https://docs.google.com/spreadsheets/d/11923uPwbBZFjjGgGUA6NLw09EwE0CqkOc4q9oUmW1yo/edit?usp=sharing"",""น่าน!J389"")"),0)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IFERROR(__xludf.DUMMYFUNCTION("IMPORTRANGE(""https://docs.google.com/spreadsheets/d/11923uPwbBZFjjGgGUA6NLw09EwE0CqkOc4q9oUmW1yo/edit?usp=sharing"",""น่าน!I390"")"),0)</f>
        <v>0</v>
      </c>
      <c r="J495" s="436">
        <f ca="1">IFERROR(__xludf.DUMMYFUNCTION("IMPORTRANGE(""https://docs.google.com/spreadsheets/d/11923uPwbBZFjjGgGUA6NLw09EwE0CqkOc4q9oUmW1yo/edit?usp=sharing"",""น่าน!J390"")"),0)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IFERROR(__xludf.DUMMYFUNCTION("IMPORTRANGE(""https://docs.google.com/spreadsheets/d/11923uPwbBZFjjGgGUA6NLw09EwE0CqkOc4q9oUmW1yo/edit?usp=sharing"",""น่าน!I391"")"),0)</f>
        <v>0</v>
      </c>
      <c r="J496" s="436">
        <f ca="1">IFERROR(__xludf.DUMMYFUNCTION("IMPORTRANGE(""https://docs.google.com/spreadsheets/d/11923uPwbBZFjjGgGUA6NLw09EwE0CqkOc4q9oUmW1yo/edit?usp=sharing"",""น่าน!J391"")"),0)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IFERROR(__xludf.DUMMYFUNCTION("IMPORTRANGE(""https://docs.google.com/spreadsheets/d/11923uPwbBZFjjGgGUA6NLw09EwE0CqkOc4q9oUmW1yo/edit?usp=sharing"",""น่าน!I392"")"),575)</f>
        <v>575</v>
      </c>
      <c r="J497" s="443">
        <f ca="1">IFERROR(__xludf.DUMMYFUNCTION("IMPORTRANGE(""https://docs.google.com/spreadsheets/d/11923uPwbBZFjjGgGUA6NLw09EwE0CqkOc4q9oUmW1yo/edit?usp=sharing"",""น่าน!J392"")"),0)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IFERROR(__xludf.DUMMYFUNCTION("IMPORTRANGE(""https://docs.google.com/spreadsheets/d/11923uPwbBZFjjGgGUA6NLw09EwE0CqkOc4q9oUmW1yo/edit?usp=sharing"",""น่าน!I393"")"),575)</f>
        <v>575</v>
      </c>
      <c r="J498" s="420">
        <f ca="1">IFERROR(__xludf.DUMMYFUNCTION("IMPORTRANGE(""https://docs.google.com/spreadsheets/d/11923uPwbBZFjjGgGUA6NLw09EwE0CqkOc4q9oUmW1yo/edit?usp=sharing"",""น่าน!J393"")"),0)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IFERROR(__xludf.DUMMYFUNCTION("IMPORTRANGE(""https://docs.google.com/spreadsheets/d/11923uPwbBZFjjGgGUA6NLw09EwE0CqkOc4q9oUmW1yo/edit?usp=sharing"",""น่าน!I394"")"),187)</f>
        <v>187</v>
      </c>
      <c r="J499" s="420">
        <f ca="1">IFERROR(__xludf.DUMMYFUNCTION("IMPORTRANGE(""https://docs.google.com/spreadsheets/d/11923uPwbBZFjjGgGUA6NLw09EwE0CqkOc4q9oUmW1yo/edit?usp=sharing"",""น่าน!J394"")"),0)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IFERROR(__xludf.DUMMYFUNCTION("IMPORTRANGE(""https://docs.google.com/spreadsheets/d/11923uPwbBZFjjGgGUA6NLw09EwE0CqkOc4q9oUmW1yo/edit?usp=sharing"",""น่าน!I395"")"),0)</f>
        <v>0</v>
      </c>
      <c r="J500" s="162">
        <f ca="1">IFERROR(__xludf.DUMMYFUNCTION("IMPORTRANGE(""https://docs.google.com/spreadsheets/d/11923uPwbBZFjjGgGUA6NLw09EwE0CqkOc4q9oUmW1yo/edit?usp=sharing"",""น่าน!J395"")"),0)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IFERROR(__xludf.DUMMYFUNCTION("IMPORTRANGE(""https://docs.google.com/spreadsheets/d/11923uPwbBZFjjGgGUA6NLw09EwE0CqkOc4q9oUmW1yo/edit?usp=sharing"",""น่าน!I396"")"),0)</f>
        <v>0</v>
      </c>
      <c r="J501" s="162">
        <f ca="1">IFERROR(__xludf.DUMMYFUNCTION("IMPORTRANGE(""https://docs.google.com/spreadsheets/d/11923uPwbBZFjjGgGUA6NLw09EwE0CqkOc4q9oUmW1yo/edit?usp=sharing"",""น่าน!J396"")"),0)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IFERROR(__xludf.DUMMYFUNCTION("IMPORTRANGE(""https://docs.google.com/spreadsheets/d/11923uPwbBZFjjGgGUA6NLw09EwE0CqkOc4q9oUmW1yo/edit?usp=sharing"",""น่าน!I397"")"),0)</f>
        <v>0</v>
      </c>
      <c r="J502" s="188">
        <f ca="1">IFERROR(__xludf.DUMMYFUNCTION("IMPORTRANGE(""https://docs.google.com/spreadsheets/d/11923uPwbBZFjjGgGUA6NLw09EwE0CqkOc4q9oUmW1yo/edit?usp=sharing"",""น่าน!J397"")"),0)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IFERROR(__xludf.DUMMYFUNCTION("IMPORTRANGE(""https://docs.google.com/spreadsheets/d/11923uPwbBZFjjGgGUA6NLw09EwE0CqkOc4q9oUmW1yo/edit?usp=sharing"",""น่าน!I398"")"),0)</f>
        <v>0</v>
      </c>
      <c r="J503" s="197">
        <f ca="1">IFERROR(__xludf.DUMMYFUNCTION("IMPORTRANGE(""https://docs.google.com/spreadsheets/d/11923uPwbBZFjjGgGUA6NLw09EwE0CqkOc4q9oUmW1yo/edit?usp=sharing"",""น่าน!J398"")"),0)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IFERROR(__xludf.DUMMYFUNCTION("IMPORTRANGE(""https://docs.google.com/spreadsheets/d/11923uPwbBZFjjGgGUA6NLw09EwE0CqkOc4q9oUmW1yo/edit?usp=sharing"",""น่าน!I399"")"),0)</f>
        <v>0</v>
      </c>
      <c r="J504" s="188">
        <f ca="1">IFERROR(__xludf.DUMMYFUNCTION("IMPORTRANGE(""https://docs.google.com/spreadsheets/d/11923uPwbBZFjjGgGUA6NLw09EwE0CqkOc4q9oUmW1yo/edit?usp=sharing"",""น่าน!J399"")"),0)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IFERROR(__xludf.DUMMYFUNCTION("IMPORTRANGE(""https://docs.google.com/spreadsheets/d/11923uPwbBZFjjGgGUA6NLw09EwE0CqkOc4q9oUmW1yo/edit?usp=sharing"",""น่าน!I400"")"),0)</f>
        <v>0</v>
      </c>
      <c r="J505" s="197">
        <f ca="1">IFERROR(__xludf.DUMMYFUNCTION("IMPORTRANGE(""https://docs.google.com/spreadsheets/d/11923uPwbBZFjjGgGUA6NLw09EwE0CqkOc4q9oUmW1yo/edit?usp=sharing"",""น่าน!J400"")"),0)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IFERROR(__xludf.DUMMYFUNCTION("IMPORTRANGE(""https://docs.google.com/spreadsheets/d/11923uPwbBZFjjGgGUA6NLw09EwE0CqkOc4q9oUmW1yo/edit?usp=sharing"",""น่าน!I401"")"),0)</f>
        <v>0</v>
      </c>
      <c r="J506" s="188">
        <f ca="1">IFERROR(__xludf.DUMMYFUNCTION("IMPORTRANGE(""https://docs.google.com/spreadsheets/d/11923uPwbBZFjjGgGUA6NLw09EwE0CqkOc4q9oUmW1yo/edit?usp=sharing"",""น่าน!J401"")"),0)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IFERROR(__xludf.DUMMYFUNCTION("IMPORTRANGE(""https://docs.google.com/spreadsheets/d/11923uPwbBZFjjGgGUA6NLw09EwE0CqkOc4q9oUmW1yo/edit?usp=sharing"",""น่าน!I402"")"),0)</f>
        <v>0</v>
      </c>
      <c r="J507" s="197">
        <f ca="1">IFERROR(__xludf.DUMMYFUNCTION("IMPORTRANGE(""https://docs.google.com/spreadsheets/d/11923uPwbBZFjjGgGUA6NLw09EwE0CqkOc4q9oUmW1yo/edit?usp=sharing"",""น่าน!J402"")"),0)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IFERROR(__xludf.DUMMYFUNCTION("IMPORTRANGE(""https://docs.google.com/spreadsheets/d/11923uPwbBZFjjGgGUA6NLw09EwE0CqkOc4q9oUmW1yo/edit?usp=sharing"",""น่าน!I403"")"),0)</f>
        <v>0</v>
      </c>
      <c r="J508" s="162">
        <f ca="1">IFERROR(__xludf.DUMMYFUNCTION("IMPORTRANGE(""https://docs.google.com/spreadsheets/d/11923uPwbBZFjjGgGUA6NLw09EwE0CqkOc4q9oUmW1yo/edit?usp=sharing"",""น่าน!J403"")"),0)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IFERROR(__xludf.DUMMYFUNCTION("IMPORTRANGE(""https://docs.google.com/spreadsheets/d/11923uPwbBZFjjGgGUA6NLw09EwE0CqkOc4q9oUmW1yo/edit?usp=sharing"",""น่าน!I404"")"),0)</f>
        <v>0</v>
      </c>
      <c r="J509" s="162">
        <f ca="1">IFERROR(__xludf.DUMMYFUNCTION("IMPORTRANGE(""https://docs.google.com/spreadsheets/d/11923uPwbBZFjjGgGUA6NLw09EwE0CqkOc4q9oUmW1yo/edit?usp=sharing"",""น่าน!J404"")"),0)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IFERROR(__xludf.DUMMYFUNCTION("IMPORTRANGE(""https://docs.google.com/spreadsheets/d/11923uPwbBZFjjGgGUA6NLw09EwE0CqkOc4q9oUmW1yo/edit?usp=sharing"",""น่าน!I405"")"),0)</f>
        <v>0</v>
      </c>
      <c r="J510" s="197">
        <f ca="1">IFERROR(__xludf.DUMMYFUNCTION("IMPORTRANGE(""https://docs.google.com/spreadsheets/d/11923uPwbBZFjjGgGUA6NLw09EwE0CqkOc4q9oUmW1yo/edit?usp=sharing"",""น่าน!J405"")"),0)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IFERROR(__xludf.DUMMYFUNCTION("IMPORTRANGE(""https://docs.google.com/spreadsheets/d/11923uPwbBZFjjGgGUA6NLw09EwE0CqkOc4q9oUmW1yo/edit?usp=sharing"",""น่าน!I406"")"),0)</f>
        <v>0</v>
      </c>
      <c r="J511" s="197">
        <f ca="1">IFERROR(__xludf.DUMMYFUNCTION("IMPORTRANGE(""https://docs.google.com/spreadsheets/d/11923uPwbBZFjjGgGUA6NLw09EwE0CqkOc4q9oUmW1yo/edit?usp=sharing"",""น่าน!J406"")"),0)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IFERROR(__xludf.DUMMYFUNCTION("IMPORTRANGE(""https://docs.google.com/spreadsheets/d/11923uPwbBZFjjGgGUA6NLw09EwE0CqkOc4q9oUmW1yo/edit?usp=sharing"",""น่าน!I407"")"),0)</f>
        <v>0</v>
      </c>
      <c r="J512" s="197">
        <f ca="1">IFERROR(__xludf.DUMMYFUNCTION("IMPORTRANGE(""https://docs.google.com/spreadsheets/d/11923uPwbBZFjjGgGUA6NLw09EwE0CqkOc4q9oUmW1yo/edit?usp=sharing"",""น่าน!J407"")"),0)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IFERROR(__xludf.DUMMYFUNCTION("IMPORTRANGE(""https://docs.google.com/spreadsheets/d/11923uPwbBZFjjGgGUA6NLw09EwE0CqkOc4q9oUmW1yo/edit?usp=sharing"",""น่าน!I408"")"),0)</f>
        <v>0</v>
      </c>
      <c r="J513" s="197">
        <f ca="1">IFERROR(__xludf.DUMMYFUNCTION("IMPORTRANGE(""https://docs.google.com/spreadsheets/d/11923uPwbBZFjjGgGUA6NLw09EwE0CqkOc4q9oUmW1yo/edit?usp=sharing"",""น่าน!J408"")"),0)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IFERROR(__xludf.DUMMYFUNCTION("IMPORTRANGE(""https://docs.google.com/spreadsheets/d/11923uPwbBZFjjGgGUA6NLw09EwE0CqkOc4q9oUmW1yo/edit?usp=sharing"",""น่าน!I409"")"),0)</f>
        <v>0</v>
      </c>
      <c r="J514" s="197">
        <f ca="1">IFERROR(__xludf.DUMMYFUNCTION("IMPORTRANGE(""https://docs.google.com/spreadsheets/d/11923uPwbBZFjjGgGUA6NLw09EwE0CqkOc4q9oUmW1yo/edit?usp=sharing"",""น่าน!J409"")"),0)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IFERROR(__xludf.DUMMYFUNCTION("IMPORTRANGE(""https://docs.google.com/spreadsheets/d/11923uPwbBZFjjGgGUA6NLw09EwE0CqkOc4q9oUmW1yo/edit?usp=sharing"",""น่าน!I410"")"),0)</f>
        <v>0</v>
      </c>
      <c r="J515" s="197">
        <f ca="1">IFERROR(__xludf.DUMMYFUNCTION("IMPORTRANGE(""https://docs.google.com/spreadsheets/d/11923uPwbBZFjjGgGUA6NLw09EwE0CqkOc4q9oUmW1yo/edit?usp=sharing"",""น่าน!J410"")"),0)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IFERROR(__xludf.DUMMYFUNCTION("IMPORTRANGE(""https://docs.google.com/spreadsheets/d/11923uPwbBZFjjGgGUA6NLw09EwE0CqkOc4q9oUmW1yo/edit?usp=sharing"",""น่าน!I411"")"),0)</f>
        <v>0</v>
      </c>
      <c r="J516" s="267">
        <f ca="1">IFERROR(__xludf.DUMMYFUNCTION("IMPORTRANGE(""https://docs.google.com/spreadsheets/d/11923uPwbBZFjjGgGUA6NLw09EwE0CqkOc4q9oUmW1yo/edit?usp=sharing"",""น่าน!J411"")"),0)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IFERROR(__xludf.DUMMYFUNCTION("IMPORTRANGE(""https://docs.google.com/spreadsheets/d/11923uPwbBZFjjGgGUA6NLw09EwE0CqkOc4q9oUmW1yo/edit?usp=sharing"",""น่าน!I412"")"),0)</f>
        <v>0</v>
      </c>
      <c r="J517" s="284">
        <f ca="1">IFERROR(__xludf.DUMMYFUNCTION("IMPORTRANGE(""https://docs.google.com/spreadsheets/d/11923uPwbBZFjjGgGUA6NLw09EwE0CqkOc4q9oUmW1yo/edit?usp=sharing"",""น่าน!J412"")"),0)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IFERROR(__xludf.DUMMYFUNCTION("IMPORTRANGE(""https://docs.google.com/spreadsheets/d/11923uPwbBZFjjGgGUA6NLw09EwE0CqkOc4q9oUmW1yo/edit?usp=sharing"",""น่าน!I413"")"),0)</f>
        <v>0</v>
      </c>
      <c r="J518" s="284">
        <f ca="1">IFERROR(__xludf.DUMMYFUNCTION("IMPORTRANGE(""https://docs.google.com/spreadsheets/d/11923uPwbBZFjjGgGUA6NLw09EwE0CqkOc4q9oUmW1yo/edit?usp=sharing"",""น่าน!J413"")"),0)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IFERROR(__xludf.DUMMYFUNCTION("IMPORTRANGE(""https://docs.google.com/spreadsheets/d/11923uPwbBZFjjGgGUA6NLw09EwE0CqkOc4q9oUmW1yo/edit?usp=sharing"",""น่าน!I414"")"),0)</f>
        <v>0</v>
      </c>
      <c r="J519" s="187">
        <f ca="1">IFERROR(__xludf.DUMMYFUNCTION("IMPORTRANGE(""https://docs.google.com/spreadsheets/d/11923uPwbBZFjjGgGUA6NLw09EwE0CqkOc4q9oUmW1yo/edit?usp=sharing"",""น่าน!J414"")"),0)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IFERROR(__xludf.DUMMYFUNCTION("IMPORTRANGE(""https://docs.google.com/spreadsheets/d/11923uPwbBZFjjGgGUA6NLw09EwE0CqkOc4q9oUmW1yo/edit?usp=sharing"",""น่าน!I415"")"),0)</f>
        <v>0</v>
      </c>
      <c r="J520" s="187">
        <f ca="1">IFERROR(__xludf.DUMMYFUNCTION("IMPORTRANGE(""https://docs.google.com/spreadsheets/d/11923uPwbBZFjjGgGUA6NLw09EwE0CqkOc4q9oUmW1yo/edit?usp=sharing"",""น่าน!J415"")"),0)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IFERROR(__xludf.DUMMYFUNCTION("IMPORTRANGE(""https://docs.google.com/spreadsheets/d/11923uPwbBZFjjGgGUA6NLw09EwE0CqkOc4q9oUmW1yo/edit?usp=sharing"",""น่าน!I416"")"),0)</f>
        <v>0</v>
      </c>
      <c r="J521" s="187">
        <f ca="1">IFERROR(__xludf.DUMMYFUNCTION("IMPORTRANGE(""https://docs.google.com/spreadsheets/d/11923uPwbBZFjjGgGUA6NLw09EwE0CqkOc4q9oUmW1yo/edit?usp=sharing"",""น่าน!J416"")"),0)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IFERROR(__xludf.DUMMYFUNCTION("IMPORTRANGE(""https://docs.google.com/spreadsheets/d/11923uPwbBZFjjGgGUA6NLw09EwE0CqkOc4q9oUmW1yo/edit?usp=sharing"",""น่าน!I417"")"),0)</f>
        <v>0</v>
      </c>
      <c r="J522" s="187">
        <f ca="1">IFERROR(__xludf.DUMMYFUNCTION("IMPORTRANGE(""https://docs.google.com/spreadsheets/d/11923uPwbBZFjjGgGUA6NLw09EwE0CqkOc4q9oUmW1yo/edit?usp=sharing"",""น่าน!J417"")"),0)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IFERROR(__xludf.DUMMYFUNCTION("IMPORTRANGE(""https://docs.google.com/spreadsheets/d/11923uPwbBZFjjGgGUA6NLw09EwE0CqkOc4q9oUmW1yo/edit?usp=sharing"",""น่าน!I418"")"),0)</f>
        <v>0</v>
      </c>
      <c r="J523" s="187">
        <f ca="1">IFERROR(__xludf.DUMMYFUNCTION("IMPORTRANGE(""https://docs.google.com/spreadsheets/d/11923uPwbBZFjjGgGUA6NLw09EwE0CqkOc4q9oUmW1yo/edit?usp=sharing"",""น่าน!J418"")"),13)</f>
        <v>13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IFERROR(__xludf.DUMMYFUNCTION("IMPORTRANGE(""https://docs.google.com/spreadsheets/d/11923uPwbBZFjjGgGUA6NLw09EwE0CqkOc4q9oUmW1yo/edit?usp=sharing"",""น่าน!I419"")"),0)</f>
        <v>0</v>
      </c>
      <c r="J524" s="187">
        <f ca="1">IFERROR(__xludf.DUMMYFUNCTION("IMPORTRANGE(""https://docs.google.com/spreadsheets/d/11923uPwbBZFjjGgGUA6NLw09EwE0CqkOc4q9oUmW1yo/edit?usp=sharing"",""น่าน!J419"")"),4)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IFERROR(__xludf.DUMMYFUNCTION("IMPORTRANGE(""https://docs.google.com/spreadsheets/d/11923uPwbBZFjjGgGUA6NLw09EwE0CqkOc4q9oUmW1yo/edit?usp=sharing"",""น่าน!I420"")"),13)</f>
        <v>13</v>
      </c>
      <c r="J525" s="284">
        <f ca="1">IFERROR(__xludf.DUMMYFUNCTION("IMPORTRANGE(""https://docs.google.com/spreadsheets/d/11923uPwbBZFjjGgGUA6NLw09EwE0CqkOc4q9oUmW1yo/edit?usp=sharing"",""น่าน!J420"")"),0)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IFERROR(__xludf.DUMMYFUNCTION("IMPORTRANGE(""https://docs.google.com/spreadsheets/d/11923uPwbBZFjjGgGUA6NLw09EwE0CqkOc4q9oUmW1yo/edit?usp=sharing"",""น่าน!I421"")"),4)</f>
        <v>4</v>
      </c>
      <c r="J526" s="284">
        <f ca="1">IFERROR(__xludf.DUMMYFUNCTION("IMPORTRANGE(""https://docs.google.com/spreadsheets/d/11923uPwbBZFjjGgGUA6NLw09EwE0CqkOc4q9oUmW1yo/edit?usp=sharing"",""น่าน!J421"")"),0)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IFERROR(__xludf.DUMMYFUNCTION("IMPORTRANGE(""https://docs.google.com/spreadsheets/d/11923uPwbBZFjjGgGUA6NLw09EwE0CqkOc4q9oUmW1yo/edit?usp=sharing"",""น่าน!I422"")"),0)</f>
        <v>0</v>
      </c>
      <c r="J527" s="197">
        <f ca="1">IFERROR(__xludf.DUMMYFUNCTION("IMPORTRANGE(""https://docs.google.com/spreadsheets/d/11923uPwbBZFjjGgGUA6NLw09EwE0CqkOc4q9oUmW1yo/edit?usp=sharing"",""น่าน!J422"")"),0)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IFERROR(__xludf.DUMMYFUNCTION("IMPORTRANGE(""https://docs.google.com/spreadsheets/d/11923uPwbBZFjjGgGUA6NLw09EwE0CqkOc4q9oUmW1yo/edit?usp=sharing"",""น่าน!I423"")"),0)</f>
        <v>0</v>
      </c>
      <c r="J528" s="197">
        <f ca="1">IFERROR(__xludf.DUMMYFUNCTION("IMPORTRANGE(""https://docs.google.com/spreadsheets/d/11923uPwbBZFjjGgGUA6NLw09EwE0CqkOc4q9oUmW1yo/edit?usp=sharing"",""น่าน!J423"")"),0)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IFERROR(__xludf.DUMMYFUNCTION("IMPORTRANGE(""https://docs.google.com/spreadsheets/d/11923uPwbBZFjjGgGUA6NLw09EwE0CqkOc4q9oUmW1yo/edit?usp=sharing"",""น่าน!I424"")"),0)</f>
        <v>0</v>
      </c>
      <c r="J529" s="197">
        <f ca="1">IFERROR(__xludf.DUMMYFUNCTION("IMPORTRANGE(""https://docs.google.com/spreadsheets/d/11923uPwbBZFjjGgGUA6NLw09EwE0CqkOc4q9oUmW1yo/edit?usp=sharing"",""น่าน!J424"")"),0)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IFERROR(__xludf.DUMMYFUNCTION("IMPORTRANGE(""https://docs.google.com/spreadsheets/d/11923uPwbBZFjjGgGUA6NLw09EwE0CqkOc4q9oUmW1yo/edit?usp=sharing"",""น่าน!I425"")"),0)</f>
        <v>0</v>
      </c>
      <c r="J530" s="197">
        <f ca="1">IFERROR(__xludf.DUMMYFUNCTION("IMPORTRANGE(""https://docs.google.com/spreadsheets/d/11923uPwbBZFjjGgGUA6NLw09EwE0CqkOc4q9oUmW1yo/edit?usp=sharing"",""น่าน!J425"")"),0)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IFERROR(__xludf.DUMMYFUNCTION("IMPORTRANGE(""https://docs.google.com/spreadsheets/d/11923uPwbBZFjjGgGUA6NLw09EwE0CqkOc4q9oUmW1yo/edit?usp=sharing"",""น่าน!I426"")"),0)</f>
        <v>0</v>
      </c>
      <c r="J531" s="197">
        <f ca="1">IFERROR(__xludf.DUMMYFUNCTION("IMPORTRANGE(""https://docs.google.com/spreadsheets/d/11923uPwbBZFjjGgGUA6NLw09EwE0CqkOc4q9oUmW1yo/edit?usp=sharing"",""น่าน!J426"")"),0)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IFERROR(__xludf.DUMMYFUNCTION("IMPORTRANGE(""https://docs.google.com/spreadsheets/d/11923uPwbBZFjjGgGUA6NLw09EwE0CqkOc4q9oUmW1yo/edit?usp=sharing"",""น่าน!I427"")"),0)</f>
        <v>0</v>
      </c>
      <c r="J532" s="466">
        <f ca="1">IFERROR(__xludf.DUMMYFUNCTION("IMPORTRANGE(""https://docs.google.com/spreadsheets/d/11923uPwbBZFjjGgGUA6NLw09EwE0CqkOc4q9oUmW1yo/edit?usp=sharing"",""น่าน!J427"")"),0)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IFERROR(__xludf.DUMMYFUNCTION("IMPORTRANGE(""https://docs.google.com/spreadsheets/d/11923uPwbBZFjjGgGUA6NLw09EwE0CqkOc4q9oUmW1yo/edit?usp=sharing"",""น่าน!I428"")"),22)</f>
        <v>22</v>
      </c>
      <c r="J533" s="409">
        <f ca="1">IFERROR(__xludf.DUMMYFUNCTION("IMPORTRANGE(""https://docs.google.com/spreadsheets/d/11923uPwbBZFjjGgGUA6NLw09EwE0CqkOc4q9oUmW1yo/edit?usp=sharing"",""น่าน!J428"")"),22)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IFERROR(__xludf.DUMMYFUNCTION("IMPORTRANGE(""https://docs.google.com/spreadsheets/d/11923uPwbBZFjjGgGUA6NLw09EwE0CqkOc4q9oUmW1yo/edit?usp=sharing"",""น่าน!L428"")"),34340)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IFERROR(__xludf.DUMMYFUNCTION("IMPORTRANGE(""https://docs.google.com/spreadsheets/d/11923uPwbBZFjjGgGUA6NLw09EwE0CqkOc4q9oUmW1yo/edit?usp=sharing"",""น่าน!M428"")"),26076)</f>
        <v>26076</v>
      </c>
      <c r="O533" s="411">
        <f t="shared" ref="O533:O537" ca="1" si="118">+IF(L533&gt;0,N533*100/L533,0)</f>
        <v>75.934769947582993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IFERROR(__xludf.DUMMYFUNCTION("IMPORTRANGE(""https://docs.google.com/spreadsheets/d/11923uPwbBZFjjGgGUA6NLw09EwE0CqkOc4q9oUmW1yo/edit?usp=sharing"",""น่าน!L429"")"),0)</f>
        <v>0</v>
      </c>
      <c r="M534" s="164"/>
      <c r="N534" s="168">
        <f ca="1">IFERROR(__xludf.DUMMYFUNCTION("IMPORTRANGE(""https://docs.google.com/spreadsheets/d/11923uPwbBZFjjGgGUA6NLw09EwE0CqkOc4q9oUmW1yo/edit?usp=sharing"",""น่าน!M429"")"),0)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IFERROR(__xludf.DUMMYFUNCTION("IMPORTRANGE(""https://docs.google.com/spreadsheets/d/11923uPwbBZFjjGgGUA6NLw09EwE0CqkOc4q9oUmW1yo/edit?usp=sharing"",""น่าน!L430"")"),34340)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IFERROR(__xludf.DUMMYFUNCTION("IMPORTRANGE(""https://docs.google.com/spreadsheets/d/11923uPwbBZFjjGgGUA6NLw09EwE0CqkOc4q9oUmW1yo/edit?usp=sharing"",""น่าน!M430"")"),26076)</f>
        <v>26076</v>
      </c>
      <c r="O535" s="168">
        <f t="shared" ca="1" si="118"/>
        <v>75.934769947582993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IFERROR(__xludf.DUMMYFUNCTION("IMPORTRANGE(""https://docs.google.com/spreadsheets/d/11923uPwbBZFjjGgGUA6NLw09EwE0CqkOc4q9oUmW1yo/edit?usp=sharing"",""น่าน!L431"")"),0)</f>
        <v>0</v>
      </c>
      <c r="M536" s="168"/>
      <c r="N536" s="168">
        <f ca="1">IFERROR(__xludf.DUMMYFUNCTION("IMPORTRANGE(""https://docs.google.com/spreadsheets/d/11923uPwbBZFjjGgGUA6NLw09EwE0CqkOc4q9oUmW1yo/edit?usp=sharing"",""น่าน!M431"")"),0)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IFERROR(__xludf.DUMMYFUNCTION("IMPORTRANGE(""https://docs.google.com/spreadsheets/d/11923uPwbBZFjjGgGUA6NLw09EwE0CqkOc4q9oUmW1yo/edit?usp=sharing"",""น่าน!L432"")"),34340)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IFERROR(__xludf.DUMMYFUNCTION("IMPORTRANGE(""https://docs.google.com/spreadsheets/d/11923uPwbBZFjjGgGUA6NLw09EwE0CqkOc4q9oUmW1yo/edit?usp=sharing"",""น่าน!M432"")"),26076)</f>
        <v>26076</v>
      </c>
      <c r="O537" s="168">
        <f t="shared" ca="1" si="118"/>
        <v>75.934769947582993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IFERROR(__xludf.DUMMYFUNCTION("IMPORTRANGE(""https://docs.google.com/spreadsheets/d/11923uPwbBZFjjGgGUA6NLw09EwE0CqkOc4q9oUmW1yo/edit?usp=sharing"",""น่าน!M433"")"),18966)</f>
        <v>18966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IFERROR(__xludf.DUMMYFUNCTION("IMPORTRANGE(""https://docs.google.com/spreadsheets/d/11923uPwbBZFjjGgGUA6NLw09EwE0CqkOc4q9oUmW1yo/edit?usp=sharing"",""น่าน!M434"")"),0)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IFERROR(__xludf.DUMMYFUNCTION("IMPORTRANGE(""https://docs.google.com/spreadsheets/d/11923uPwbBZFjjGgGUA6NLw09EwE0CqkOc4q9oUmW1yo/edit?usp=sharing"",""น่าน!M435"")"),0)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IFERROR(__xludf.DUMMYFUNCTION("IMPORTRANGE(""https://docs.google.com/spreadsheets/d/11923uPwbBZFjjGgGUA6NLw09EwE0CqkOc4q9oUmW1yo/edit?usp=sharing"",""น่าน!M436"")"),7110)</f>
        <v>7110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IFERROR(__xludf.DUMMYFUNCTION("IMPORTRANGE(""https://docs.google.com/spreadsheets/d/11923uPwbBZFjjGgGUA6NLw09EwE0CqkOc4q9oUmW1yo/edit?usp=sharing"",""น่าน!J438"")"),0)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IFERROR(__xludf.DUMMYFUNCTION("IMPORTRANGE(""https://docs.google.com/spreadsheets/d/11923uPwbBZFjjGgGUA6NLw09EwE0CqkOc4q9oUmW1yo/edit?usp=sharing"",""น่าน!J439"")"),1)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IFERROR(__xludf.DUMMYFUNCTION("IMPORTRANGE(""https://docs.google.com/spreadsheets/d/11923uPwbBZFjjGgGUA6NLw09EwE0CqkOc4q9oUmW1yo/edit?usp=sharing"",""น่าน!J440"")"),1)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IFERROR(__xludf.DUMMYFUNCTION("IMPORTRANGE(""https://docs.google.com/spreadsheets/d/11923uPwbBZFjjGgGUA6NLw09EwE0CqkOc4q9oUmW1yo/edit?usp=sharing"",""น่าน!J441"")"),1)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IFERROR(__xludf.DUMMYFUNCTION("IMPORTRANGE(""https://docs.google.com/spreadsheets/d/11923uPwbBZFjjGgGUA6NLw09EwE0CqkOc4q9oUmW1yo/edit?usp=sharing"",""น่าน!I442"")"),22)</f>
        <v>22</v>
      </c>
      <c r="J547" s="188">
        <f ca="1">IFERROR(__xludf.DUMMYFUNCTION("IMPORTRANGE(""https://docs.google.com/spreadsheets/d/11923uPwbBZFjjGgGUA6NLw09EwE0CqkOc4q9oUmW1yo/edit?usp=sharing"",""น่าน!J442"")"),22)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IFERROR(__xludf.DUMMYFUNCTION("IMPORTRANGE(""https://docs.google.com/spreadsheets/d/11923uPwbBZFjjGgGUA6NLw09EwE0CqkOc4q9oUmW1yo/edit?usp=sharing"",""น่าน!J166"")"),0)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IFERROR(__xludf.DUMMYFUNCTION("IMPORTRANGE(""https://docs.google.com/spreadsheets/d/11923uPwbBZFjjGgGUA6NLw09EwE0CqkOc4q9oUmW1yo/edit?usp=sharing"",""น่าน!J444"")"),0)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IFERROR(__xludf.DUMMYFUNCTION("IMPORTRANGE(""https://docs.google.com/spreadsheets/d/11923uPwbBZFjjGgGUA6NLw09EwE0CqkOc4q9oUmW1yo/edit?usp=sharing"",""น่าน!J445"")"),0)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IFERROR(__xludf.DUMMYFUNCTION("IMPORTRANGE(""https://docs.google.com/spreadsheets/d/11923uPwbBZFjjGgGUA6NLw09EwE0CqkOc4q9oUmW1yo/edit?usp=sharing"",""น่าน!I446"")"),0)</f>
        <v>0</v>
      </c>
      <c r="J551" s="409">
        <f ca="1">IFERROR(__xludf.DUMMYFUNCTION("IMPORTRANGE(""https://docs.google.com/spreadsheets/d/11923uPwbBZFjjGgGUA6NLw09EwE0CqkOc4q9oUmW1yo/edit?usp=sharing"",""น่าน!J446"")"),0)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IFERROR(__xludf.DUMMYFUNCTION("IMPORTRANGE(""https://docs.google.com/spreadsheets/d/11923uPwbBZFjjGgGUA6NLw09EwE0CqkOc4q9oUmW1yo/edit?usp=sharing"",""น่าน!L446"")"),0)</f>
        <v>0</v>
      </c>
      <c r="M551" s="411"/>
      <c r="N551" s="411">
        <f ca="1">IFERROR(__xludf.DUMMYFUNCTION("IMPORTRANGE(""https://docs.google.com/spreadsheets/d/11923uPwbBZFjjGgGUA6NLw09EwE0CqkOc4q9oUmW1yo/edit?usp=sharing"",""น่าน!M446"")"),0)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IFERROR(__xludf.DUMMYFUNCTION("IMPORTRANGE(""https://docs.google.com/spreadsheets/d/11923uPwbBZFjjGgGUA6NLw09EwE0CqkOc4q9oUmW1yo/edit?usp=sharing"",""น่าน!L447"")"),0)</f>
        <v>0</v>
      </c>
      <c r="M552" s="164"/>
      <c r="N552" s="168">
        <f ca="1">IFERROR(__xludf.DUMMYFUNCTION("IMPORTRANGE(""https://docs.google.com/spreadsheets/d/11923uPwbBZFjjGgGUA6NLw09EwE0CqkOc4q9oUmW1yo/edit?usp=sharing"",""น่าน!M447"")"),0)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IFERROR(__xludf.DUMMYFUNCTION("IMPORTRANGE(""https://docs.google.com/spreadsheets/d/11923uPwbBZFjjGgGUA6NLw09EwE0CqkOc4q9oUmW1yo/edit?usp=sharing"",""น่าน!L448"")"),0)</f>
        <v>0</v>
      </c>
      <c r="M553" s="165"/>
      <c r="N553" s="168">
        <f ca="1">IFERROR(__xludf.DUMMYFUNCTION("IMPORTRANGE(""https://docs.google.com/spreadsheets/d/11923uPwbBZFjjGgGUA6NLw09EwE0CqkOc4q9oUmW1yo/edit?usp=sharing"",""น่าน!M448"")"),0)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IFERROR(__xludf.DUMMYFUNCTION("IMPORTRANGE(""https://docs.google.com/spreadsheets/d/11923uPwbBZFjjGgGUA6NLw09EwE0CqkOc4q9oUmW1yo/edit?usp=sharing"",""น่าน!L449"")"),0)</f>
        <v>0</v>
      </c>
      <c r="M554" s="168"/>
      <c r="N554" s="168">
        <f ca="1">IFERROR(__xludf.DUMMYFUNCTION("IMPORTRANGE(""https://docs.google.com/spreadsheets/d/11923uPwbBZFjjGgGUA6NLw09EwE0CqkOc4q9oUmW1yo/edit?usp=sharing"",""น่าน!M449"")"),0)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IFERROR(__xludf.DUMMYFUNCTION("IMPORTRANGE(""https://docs.google.com/spreadsheets/d/11923uPwbBZFjjGgGUA6NLw09EwE0CqkOc4q9oUmW1yo/edit?usp=sharing"",""น่าน!L450"")"),0)</f>
        <v>0</v>
      </c>
      <c r="M555" s="168"/>
      <c r="N555" s="168">
        <f ca="1">IFERROR(__xludf.DUMMYFUNCTION("IMPORTRANGE(""https://docs.google.com/spreadsheets/d/11923uPwbBZFjjGgGUA6NLw09EwE0CqkOc4q9oUmW1yo/edit?usp=sharing"",""น่าน!M450"")"),0)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IFERROR(__xludf.DUMMYFUNCTION("IMPORTRANGE(""https://docs.google.com/spreadsheets/d/11923uPwbBZFjjGgGUA6NLw09EwE0CqkOc4q9oUmW1yo/edit?usp=sharing"",""น่าน!M451"")"),0)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IFERROR(__xludf.DUMMYFUNCTION("IMPORTRANGE(""https://docs.google.com/spreadsheets/d/11923uPwbBZFjjGgGUA6NLw09EwE0CqkOc4q9oUmW1yo/edit?usp=sharing"",""น่าน!M452"")"),0)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IFERROR(__xludf.DUMMYFUNCTION("IMPORTRANGE(""https://docs.google.com/spreadsheets/d/11923uPwbBZFjjGgGUA6NLw09EwE0CqkOc4q9oUmW1yo/edit?usp=sharing"",""น่าน!M453"")"),0)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IFERROR(__xludf.DUMMYFUNCTION("IMPORTRANGE(""https://docs.google.com/spreadsheets/d/11923uPwbBZFjjGgGUA6NLw09EwE0CqkOc4q9oUmW1yo/edit?usp=sharing"",""น่าน!M454"")"),0)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IFERROR(__xludf.DUMMYFUNCTION("IMPORTRANGE(""https://docs.google.com/spreadsheets/d/11923uPwbBZFjjGgGUA6NLw09EwE0CqkOc4q9oUmW1yo/edit?usp=sharing"",""น่าน!I455"")"),0)</f>
        <v>0</v>
      </c>
      <c r="J560" s="162">
        <f ca="1">IFERROR(__xludf.DUMMYFUNCTION("IMPORTRANGE(""https://docs.google.com/spreadsheets/d/11923uPwbBZFjjGgGUA6NLw09EwE0CqkOc4q9oUmW1yo/edit?usp=sharing"",""น่าน!J455"")"),0)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IFERROR(__xludf.DUMMYFUNCTION("IMPORTRANGE(""https://docs.google.com/spreadsheets/d/11923uPwbBZFjjGgGUA6NLw09EwE0CqkOc4q9oUmW1yo/edit?usp=sharing"",""น่าน!I456"")"),0)</f>
        <v>0</v>
      </c>
      <c r="J561" s="203">
        <f ca="1">IFERROR(__xludf.DUMMYFUNCTION("IMPORTRANGE(""https://docs.google.com/spreadsheets/d/11923uPwbBZFjjGgGUA6NLw09EwE0CqkOc4q9oUmW1yo/edit?usp=sharing"",""น่าน!J456"")"),0)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IFERROR(__xludf.DUMMYFUNCTION("IMPORTRANGE(""https://docs.google.com/spreadsheets/d/11923uPwbBZFjjGgGUA6NLw09EwE0CqkOc4q9oUmW1yo/edit?usp=sharing"",""น่าน!I459"")"),2150)</f>
        <v>2150</v>
      </c>
      <c r="J564" s="370">
        <f ca="1">IFERROR(__xludf.DUMMYFUNCTION("IMPORTRANGE(""https://docs.google.com/spreadsheets/d/11923uPwbBZFjjGgGUA6NLw09EwE0CqkOc4q9oUmW1yo/edit?usp=sharing"",""น่าน!J459"")"),1679)</f>
        <v>1679</v>
      </c>
      <c r="K564" s="371">
        <f ca="1">IF(I564&gt;0,J564*100/I564,0)</f>
        <v>78.093023255813947</v>
      </c>
      <c r="L564" s="372">
        <f ca="1">IFERROR(__xludf.DUMMYFUNCTION("IMPORTRANGE(""https://docs.google.com/spreadsheets/d/11923uPwbBZFjjGgGUA6NLw09EwE0CqkOc4q9oUmW1yo/edit?usp=sharing"",""น่าน!L459"")"),144800)</f>
        <v>144800</v>
      </c>
      <c r="M564" s="372"/>
      <c r="N564" s="372">
        <f ca="1">IFERROR(__xludf.DUMMYFUNCTION("IMPORTRANGE(""https://docs.google.com/spreadsheets/d/11923uPwbBZFjjGgGUA6NLw09EwE0CqkOc4q9oUmW1yo/edit?usp=sharing"",""น่าน!M459"")"),70990)</f>
        <v>70990</v>
      </c>
      <c r="O564" s="372">
        <f t="shared" ref="O564:O568" ca="1" si="122">+IF(L564&gt;0,N564*100/L564,0)</f>
        <v>49.026243093922652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IFERROR(__xludf.DUMMYFUNCTION("IMPORTRANGE(""https://docs.google.com/spreadsheets/d/11923uPwbBZFjjGgGUA6NLw09EwE0CqkOc4q9oUmW1yo/edit?usp=sharing"",""น่าน!L460"")"),0)</f>
        <v>0</v>
      </c>
      <c r="M565" s="164"/>
      <c r="N565" s="168">
        <f ca="1">IFERROR(__xludf.DUMMYFUNCTION("IMPORTRANGE(""https://docs.google.com/spreadsheets/d/11923uPwbBZFjjGgGUA6NLw09EwE0CqkOc4q9oUmW1yo/edit?usp=sharing"",""น่าน!M460"")"),0)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IFERROR(__xludf.DUMMYFUNCTION("IMPORTRANGE(""https://docs.google.com/spreadsheets/d/11923uPwbBZFjjGgGUA6NLw09EwE0CqkOc4q9oUmW1yo/edit?usp=sharing"",""น่าน!L461"")"),144800)</f>
        <v>144800</v>
      </c>
      <c r="M566" s="165"/>
      <c r="N566" s="168">
        <f ca="1">IFERROR(__xludf.DUMMYFUNCTION("IMPORTRANGE(""https://docs.google.com/spreadsheets/d/11923uPwbBZFjjGgGUA6NLw09EwE0CqkOc4q9oUmW1yo/edit?usp=sharing"",""น่าน!M461"")"),70990)</f>
        <v>70990</v>
      </c>
      <c r="O566" s="168">
        <f t="shared" ca="1" si="122"/>
        <v>49.026243093922652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IFERROR(__xludf.DUMMYFUNCTION("IMPORTRANGE(""https://docs.google.com/spreadsheets/d/11923uPwbBZFjjGgGUA6NLw09EwE0CqkOc4q9oUmW1yo/edit?usp=sharing"",""น่าน!L462"")"),0)</f>
        <v>0</v>
      </c>
      <c r="M567" s="168"/>
      <c r="N567" s="168">
        <f ca="1">IFERROR(__xludf.DUMMYFUNCTION("IMPORTRANGE(""https://docs.google.com/spreadsheets/d/11923uPwbBZFjjGgGUA6NLw09EwE0CqkOc4q9oUmW1yo/edit?usp=sharing"",""น่าน!M462"")"),0)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IFERROR(__xludf.DUMMYFUNCTION("IMPORTRANGE(""https://docs.google.com/spreadsheets/d/11923uPwbBZFjjGgGUA6NLw09EwE0CqkOc4q9oUmW1yo/edit?usp=sharing"",""น่าน!L463"")"),144800)</f>
        <v>144800</v>
      </c>
      <c r="M568" s="168"/>
      <c r="N568" s="168">
        <f ca="1">IFERROR(__xludf.DUMMYFUNCTION("IMPORTRANGE(""https://docs.google.com/spreadsheets/d/11923uPwbBZFjjGgGUA6NLw09EwE0CqkOc4q9oUmW1yo/edit?usp=sharing"",""น่าน!M463"")"),70990)</f>
        <v>70990</v>
      </c>
      <c r="O568" s="168">
        <f t="shared" ca="1" si="122"/>
        <v>49.026243093922652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IFERROR(__xludf.DUMMYFUNCTION("IMPORTRANGE(""https://docs.google.com/spreadsheets/d/11923uPwbBZFjjGgGUA6NLw09EwE0CqkOc4q9oUmW1yo/edit?usp=sharing"",""น่าน!M464"")"),0)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IFERROR(__xludf.DUMMYFUNCTION("IMPORTRANGE(""https://docs.google.com/spreadsheets/d/11923uPwbBZFjjGgGUA6NLw09EwE0CqkOc4q9oUmW1yo/edit?usp=sharing"",""น่าน!M465"")"),0)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IFERROR(__xludf.DUMMYFUNCTION("IMPORTRANGE(""https://docs.google.com/spreadsheets/d/11923uPwbBZFjjGgGUA6NLw09EwE0CqkOc4q9oUmW1yo/edit?usp=sharing"",""น่าน!M466"")"),67830)</f>
        <v>67830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IFERROR(__xludf.DUMMYFUNCTION("IMPORTRANGE(""https://docs.google.com/spreadsheets/d/11923uPwbBZFjjGgGUA6NLw09EwE0CqkOc4q9oUmW1yo/edit?usp=sharing"",""น่าน!M467"")"),3160)</f>
        <v>3160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IFERROR(__xludf.DUMMYFUNCTION("IMPORTRANGE(""https://docs.google.com/spreadsheets/d/11923uPwbBZFjjGgGUA6NLw09EwE0CqkOc4q9oUmW1yo/edit?usp=sharing"",""น่าน!I468"")"),2150)</f>
        <v>2150</v>
      </c>
      <c r="J573" s="420">
        <f ca="1">IFERROR(__xludf.DUMMYFUNCTION("IMPORTRANGE(""https://docs.google.com/spreadsheets/d/11923uPwbBZFjjGgGUA6NLw09EwE0CqkOc4q9oUmW1yo/edit?usp=sharing"",""น่าน!J468"")"),1679)</f>
        <v>1679</v>
      </c>
      <c r="K573" s="201">
        <f ca="1">IF(I573&gt;0,J573*100/I573,0)</f>
        <v>78.093023255813947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IFERROR(__xludf.DUMMYFUNCTION("IMPORTRANGE(""https://docs.google.com/spreadsheets/d/11923uPwbBZFjjGgGUA6NLw09EwE0CqkOc4q9oUmW1yo/edit?usp=sharing"",""น่าน!I470"")"),0)</f>
        <v>0</v>
      </c>
      <c r="J575" s="197">
        <f ca="1">IFERROR(__xludf.DUMMYFUNCTION("IMPORTRANGE(""https://docs.google.com/spreadsheets/d/11923uPwbBZFjjGgGUA6NLw09EwE0CqkOc4q9oUmW1yo/edit?usp=sharing"",""น่าน!J470"")"),4)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IFERROR(__xludf.DUMMYFUNCTION("IMPORTRANGE(""https://docs.google.com/spreadsheets/d/11923uPwbBZFjjGgGUA6NLw09EwE0CqkOc4q9oUmW1yo/edit?usp=sharing"",""น่าน!I471"")"),0)</f>
        <v>0</v>
      </c>
      <c r="J576" s="197">
        <f ca="1">IFERROR(__xludf.DUMMYFUNCTION("IMPORTRANGE(""https://docs.google.com/spreadsheets/d/11923uPwbBZFjjGgGUA6NLw09EwE0CqkOc4q9oUmW1yo/edit?usp=sharing"",""น่าน!J471"")"),198)</f>
        <v>198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IFERROR(__xludf.DUMMYFUNCTION("IMPORTRANGE(""https://docs.google.com/spreadsheets/d/11923uPwbBZFjjGgGUA6NLw09EwE0CqkOc4q9oUmW1yo/edit?usp=sharing"",""น่าน!I472"")"),0)</f>
        <v>0</v>
      </c>
      <c r="J577" s="188">
        <f ca="1">IFERROR(__xludf.DUMMYFUNCTION("IMPORTRANGE(""https://docs.google.com/spreadsheets/d/11923uPwbBZFjjGgGUA6NLw09EwE0CqkOc4q9oUmW1yo/edit?usp=sharing"",""น่าน!J472"")"),1452)</f>
        <v>1452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IFERROR(__xludf.DUMMYFUNCTION("IMPORTRANGE(""https://docs.google.com/spreadsheets/d/11923uPwbBZFjjGgGUA6NLw09EwE0CqkOc4q9oUmW1yo/edit?usp=sharing"",""น่าน!I473"")"),0)</f>
        <v>0</v>
      </c>
      <c r="J578" s="197">
        <f ca="1">IFERROR(__xludf.DUMMYFUNCTION("IMPORTRANGE(""https://docs.google.com/spreadsheets/d/11923uPwbBZFjjGgGUA6NLw09EwE0CqkOc4q9oUmW1yo/edit?usp=sharing"",""น่าน!J473"")"),29)</f>
        <v>29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IFERROR(__xludf.DUMMYFUNCTION("IMPORTRANGE(""https://docs.google.com/spreadsheets/d/11923uPwbBZFjjGgGUA6NLw09EwE0CqkOc4q9oUmW1yo/edit?usp=sharing"",""น่าน!I474"")"),0)</f>
        <v>0</v>
      </c>
      <c r="J579" s="197">
        <f ca="1">IFERROR(__xludf.DUMMYFUNCTION("IMPORTRANGE(""https://docs.google.com/spreadsheets/d/11923uPwbBZFjjGgGUA6NLw09EwE0CqkOc4q9oUmW1yo/edit?usp=sharing"",""น่าน!J474"")"),0)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IFERROR(__xludf.DUMMYFUNCTION("IMPORTRANGE(""https://docs.google.com/spreadsheets/d/11923uPwbBZFjjGgGUA6NLw09EwE0CqkOc4q9oUmW1yo/edit?usp=sharing"",""น่าน!I475"")"),70)</f>
        <v>70</v>
      </c>
      <c r="J580" s="370">
        <f ca="1">IFERROR(__xludf.DUMMYFUNCTION("IMPORTRANGE(""https://docs.google.com/spreadsheets/d/11923uPwbBZFjjGgGUA6NLw09EwE0CqkOc4q9oUmW1yo/edit?usp=sharing"",""น่าน!J475"")"),4)</f>
        <v>4</v>
      </c>
      <c r="K580" s="371">
        <f ca="1">IF(I580&gt;0,J580*100/I580,0)</f>
        <v>5.7142857142857144</v>
      </c>
      <c r="L580" s="372">
        <f ca="1">IFERROR(__xludf.DUMMYFUNCTION("IMPORTRANGE(""https://docs.google.com/spreadsheets/d/11923uPwbBZFjjGgGUA6NLw09EwE0CqkOc4q9oUmW1yo/edit?usp=sharing"",""น่าน!L475"")"),298470)</f>
        <v>298470</v>
      </c>
      <c r="M580" s="372"/>
      <c r="N580" s="372">
        <f ca="1">IFERROR(__xludf.DUMMYFUNCTION("IMPORTRANGE(""https://docs.google.com/spreadsheets/d/11923uPwbBZFjjGgGUA6NLw09EwE0CqkOc4q9oUmW1yo/edit?usp=sharing"",""น่าน!M475"")"),76370)</f>
        <v>76370</v>
      </c>
      <c r="O580" s="372">
        <f t="shared" ref="O580:O584" ca="1" si="124">+IF(L580&gt;0,N580*100/L580,0)</f>
        <v>25.587161188729187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IFERROR(__xludf.DUMMYFUNCTION("IMPORTRANGE(""https://docs.google.com/spreadsheets/d/11923uPwbBZFjjGgGUA6NLw09EwE0CqkOc4q9oUmW1yo/edit?usp=sharing"",""น่าน!L476"")"),0)</f>
        <v>0</v>
      </c>
      <c r="M581" s="164"/>
      <c r="N581" s="168">
        <f ca="1">IFERROR(__xludf.DUMMYFUNCTION("IMPORTRANGE(""https://docs.google.com/spreadsheets/d/11923uPwbBZFjjGgGUA6NLw09EwE0CqkOc4q9oUmW1yo/edit?usp=sharing"",""น่าน!M476"")"),0)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IFERROR(__xludf.DUMMYFUNCTION("IMPORTRANGE(""https://docs.google.com/spreadsheets/d/11923uPwbBZFjjGgGUA6NLw09EwE0CqkOc4q9oUmW1yo/edit?usp=sharing"",""น่าน!L477"")"),298470)</f>
        <v>298470</v>
      </c>
      <c r="M582" s="165"/>
      <c r="N582" s="168">
        <f ca="1">IFERROR(__xludf.DUMMYFUNCTION("IMPORTRANGE(""https://docs.google.com/spreadsheets/d/11923uPwbBZFjjGgGUA6NLw09EwE0CqkOc4q9oUmW1yo/edit?usp=sharing"",""น่าน!M477"")"),76370)</f>
        <v>76370</v>
      </c>
      <c r="O582" s="168">
        <f t="shared" ca="1" si="124"/>
        <v>25.587161188729187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IFERROR(__xludf.DUMMYFUNCTION("IMPORTRANGE(""https://docs.google.com/spreadsheets/d/11923uPwbBZFjjGgGUA6NLw09EwE0CqkOc4q9oUmW1yo/edit?usp=sharing"",""น่าน!L478"")"),0)</f>
        <v>0</v>
      </c>
      <c r="M583" s="168"/>
      <c r="N583" s="168">
        <f ca="1">IFERROR(__xludf.DUMMYFUNCTION("IMPORTRANGE(""https://docs.google.com/spreadsheets/d/11923uPwbBZFjjGgGUA6NLw09EwE0CqkOc4q9oUmW1yo/edit?usp=sharing"",""น่าน!M478"")"),0)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IFERROR(__xludf.DUMMYFUNCTION("IMPORTRANGE(""https://docs.google.com/spreadsheets/d/11923uPwbBZFjjGgGUA6NLw09EwE0CqkOc4q9oUmW1yo/edit?usp=sharing"",""น่าน!L479"")"),298470)</f>
        <v>298470</v>
      </c>
      <c r="M584" s="168"/>
      <c r="N584" s="168">
        <f ca="1">IFERROR(__xludf.DUMMYFUNCTION("IMPORTRANGE(""https://docs.google.com/spreadsheets/d/11923uPwbBZFjjGgGUA6NLw09EwE0CqkOc4q9oUmW1yo/edit?usp=sharing"",""น่าน!M479"")"),76370)</f>
        <v>76370</v>
      </c>
      <c r="O584" s="168">
        <f t="shared" ca="1" si="124"/>
        <v>25.587161188729187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IFERROR(__xludf.DUMMYFUNCTION("IMPORTRANGE(""https://docs.google.com/spreadsheets/d/11923uPwbBZFjjGgGUA6NLw09EwE0CqkOc4q9oUmW1yo/edit?usp=sharing"",""น่าน!M480"")"),0)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IFERROR(__xludf.DUMMYFUNCTION("IMPORTRANGE(""https://docs.google.com/spreadsheets/d/11923uPwbBZFjjGgGUA6NLw09EwE0CqkOc4q9oUmW1yo/edit?usp=sharing"",""น่าน!M481"")"),0)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IFERROR(__xludf.DUMMYFUNCTION("IMPORTRANGE(""https://docs.google.com/spreadsheets/d/11923uPwbBZFjjGgGUA6NLw09EwE0CqkOc4q9oUmW1yo/edit?usp=sharing"",""น่าน!M482"")"),73320)</f>
        <v>73320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IFERROR(__xludf.DUMMYFUNCTION("IMPORTRANGE(""https://docs.google.com/spreadsheets/d/11923uPwbBZFjjGgGUA6NLw09EwE0CqkOc4q9oUmW1yo/edit?usp=sharing"",""น่าน!M483"")"),3050)</f>
        <v>3050</v>
      </c>
      <c r="O588" s="168"/>
      <c r="P588" s="168"/>
    </row>
    <row r="589" spans="1:16" ht="21.75" customHeight="1" x14ac:dyDescent="0.3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IFERROR(__xludf.DUMMYFUNCTION("IMPORTRANGE(""https://docs.google.com/spreadsheets/d/11923uPwbBZFjjGgGUA6NLw09EwE0CqkOc4q9oUmW1yo/edit?usp=sharing"",""น่าน!I484"")"),70)</f>
        <v>70</v>
      </c>
      <c r="J589" s="187">
        <f ca="1">IFERROR(__xludf.DUMMYFUNCTION("IMPORTRANGE(""https://docs.google.com/spreadsheets/d/11923uPwbBZFjjGgGUA6NLw09EwE0CqkOc4q9oUmW1yo/edit?usp=sharing"",""น่าน!J484"")"),5)</f>
        <v>5</v>
      </c>
      <c r="K589" s="163">
        <f t="shared" ref="K589:K596" ca="1" si="125">IF(I589&gt;0,J589*100/I589,0)</f>
        <v>7.1428571428571432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IFERROR(__xludf.DUMMYFUNCTION("IMPORTRANGE(""https://docs.google.com/spreadsheets/d/11923uPwbBZFjjGgGUA6NLw09EwE0CqkOc4q9oUmW1yo/edit?usp=sharing"",""น่าน!I485"")"),0)</f>
        <v>0</v>
      </c>
      <c r="J590" s="187">
        <f ca="1">IFERROR(__xludf.DUMMYFUNCTION("IMPORTRANGE(""https://docs.google.com/spreadsheets/d/11923uPwbBZFjjGgGUA6NLw09EwE0CqkOc4q9oUmW1yo/edit?usp=sharing"",""น่าน!J485"")"),3.57)</f>
        <v>3.57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IFERROR(__xludf.DUMMYFUNCTION("IMPORTRANGE(""https://docs.google.com/spreadsheets/d/11923uPwbBZFjjGgGUA6NLw09EwE0CqkOc4q9oUmW1yo/edit?usp=sharing"",""น่าน!I486"")"),70)</f>
        <v>70</v>
      </c>
      <c r="J591" s="187">
        <f ca="1">IFERROR(__xludf.DUMMYFUNCTION("IMPORTRANGE(""https://docs.google.com/spreadsheets/d/11923uPwbBZFjjGgGUA6NLw09EwE0CqkOc4q9oUmW1yo/edit?usp=sharing"",""น่าน!J486"")"),2)</f>
        <v>2</v>
      </c>
      <c r="K591" s="163">
        <f t="shared" ca="1" si="125"/>
        <v>2.8571428571428572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IFERROR(__xludf.DUMMYFUNCTION("IMPORTRANGE(""https://docs.google.com/spreadsheets/d/11923uPwbBZFjjGgGUA6NLw09EwE0CqkOc4q9oUmW1yo/edit?usp=sharing"",""น่าน!I487"")"),0)</f>
        <v>0</v>
      </c>
      <c r="J592" s="187">
        <f ca="1">IFERROR(__xludf.DUMMYFUNCTION("IMPORTRANGE(""https://docs.google.com/spreadsheets/d/11923uPwbBZFjjGgGUA6NLw09EwE0CqkOc4q9oUmW1yo/edit?usp=sharing"",""น่าน!J487"")"),0.77)</f>
        <v>0.77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IFERROR(__xludf.DUMMYFUNCTION("IMPORTRANGE(""https://docs.google.com/spreadsheets/d/11923uPwbBZFjjGgGUA6NLw09EwE0CqkOc4q9oUmW1yo/edit?usp=sharing"",""น่าน!I488"")"),70)</f>
        <v>70</v>
      </c>
      <c r="J593" s="187">
        <f ca="1">IFERROR(__xludf.DUMMYFUNCTION("IMPORTRANGE(""https://docs.google.com/spreadsheets/d/11923uPwbBZFjjGgGUA6NLw09EwE0CqkOc4q9oUmW1yo/edit?usp=sharing"",""น่าน!J488"")"),0)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IFERROR(__xludf.DUMMYFUNCTION("IMPORTRANGE(""https://docs.google.com/spreadsheets/d/11923uPwbBZFjjGgGUA6NLw09EwE0CqkOc4q9oUmW1yo/edit?usp=sharing"",""น่าน!I489"")"),0)</f>
        <v>0</v>
      </c>
      <c r="J594" s="187">
        <f ca="1">IFERROR(__xludf.DUMMYFUNCTION("IMPORTRANGE(""https://docs.google.com/spreadsheets/d/11923uPwbBZFjjGgGUA6NLw09EwE0CqkOc4q9oUmW1yo/edit?usp=sharing"",""น่าน!J489"")"),0)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IFERROR(__xludf.DUMMYFUNCTION("IMPORTRANGE(""https://docs.google.com/spreadsheets/d/11923uPwbBZFjjGgGUA6NLw09EwE0CqkOc4q9oUmW1yo/edit?usp=sharing"",""น่าน!I490"")"),70)</f>
        <v>70</v>
      </c>
      <c r="J595" s="187">
        <f ca="1">IFERROR(__xludf.DUMMYFUNCTION("IMPORTRANGE(""https://docs.google.com/spreadsheets/d/11923uPwbBZFjjGgGUA6NLw09EwE0CqkOc4q9oUmW1yo/edit?usp=sharing"",""น่าน!J490"")"),4)</f>
        <v>4</v>
      </c>
      <c r="K595" s="163">
        <f t="shared" ca="1" si="125"/>
        <v>5.7142857142857144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IFERROR(__xludf.DUMMYFUNCTION("IMPORTRANGE(""https://docs.google.com/spreadsheets/d/11923uPwbBZFjjGgGUA6NLw09EwE0CqkOc4q9oUmW1yo/edit?usp=sharing"",""น่าน!I491"")"),0)</f>
        <v>0</v>
      </c>
      <c r="J596" s="241">
        <f ca="1">IFERROR(__xludf.DUMMYFUNCTION("IMPORTRANGE(""https://docs.google.com/spreadsheets/d/11923uPwbBZFjjGgGUA6NLw09EwE0CqkOc4q9oUmW1yo/edit?usp=sharing"",""น่าน!J491"")"),0.88)</f>
        <v>0.88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IFERROR(__xludf.DUMMYFUNCTION("IMPORTRANGE(""https://docs.google.com/spreadsheets/d/11923uPwbBZFjjGgGUA6NLw09EwE0CqkOc4q9oUmW1yo/edit?usp=sharing"",""น่าน!I492"")"),100)</f>
        <v>100</v>
      </c>
      <c r="J597" s="487">
        <f ca="1">IFERROR(__xludf.DUMMYFUNCTION("IMPORTRANGE(""https://docs.google.com/spreadsheets/d/11923uPwbBZFjjGgGUA6NLw09EwE0CqkOc4q9oUmW1yo/edit?usp=sharing"",""น่าน!J492"")"),0)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IFERROR(__xludf.DUMMYFUNCTION("IMPORTRANGE(""https://docs.google.com/spreadsheets/d/11923uPwbBZFjjGgGUA6NLw09EwE0CqkOc4q9oUmW1yo/edit?usp=sharing"",""น่าน!L492"")"),8900)</f>
        <v>8900</v>
      </c>
      <c r="M597" s="411"/>
      <c r="N597" s="411">
        <f ca="1">IFERROR(__xludf.DUMMYFUNCTION("IMPORTRANGE(""https://docs.google.com/spreadsheets/d/11923uPwbBZFjjGgGUA6NLw09EwE0CqkOc4q9oUmW1yo/edit?usp=sharing"",""น่าน!M492"")"),1800)</f>
        <v>1800</v>
      </c>
      <c r="O597" s="411">
        <f t="shared" ref="O597:O601" ca="1" si="126">+IF(L597&gt;0,N597*100/L597,0)</f>
        <v>20.224719101123597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IFERROR(__xludf.DUMMYFUNCTION("IMPORTRANGE(""https://docs.google.com/spreadsheets/d/11923uPwbBZFjjGgGUA6NLw09EwE0CqkOc4q9oUmW1yo/edit?usp=sharing"",""น่าน!L493"")"),0)</f>
        <v>0</v>
      </c>
      <c r="M598" s="164"/>
      <c r="N598" s="168">
        <f ca="1">IFERROR(__xludf.DUMMYFUNCTION("IMPORTRANGE(""https://docs.google.com/spreadsheets/d/11923uPwbBZFjjGgGUA6NLw09EwE0CqkOc4q9oUmW1yo/edit?usp=sharing"",""น่าน!M493"")"),0)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IFERROR(__xludf.DUMMYFUNCTION("IMPORTRANGE(""https://docs.google.com/spreadsheets/d/11923uPwbBZFjjGgGUA6NLw09EwE0CqkOc4q9oUmW1yo/edit?usp=sharing"",""น่าน!L494"")"),8900)</f>
        <v>8900</v>
      </c>
      <c r="M599" s="165"/>
      <c r="N599" s="168">
        <f ca="1">IFERROR(__xludf.DUMMYFUNCTION("IMPORTRANGE(""https://docs.google.com/spreadsheets/d/11923uPwbBZFjjGgGUA6NLw09EwE0CqkOc4q9oUmW1yo/edit?usp=sharing"",""น่าน!M494"")"),1800)</f>
        <v>1800</v>
      </c>
      <c r="O599" s="168">
        <f t="shared" ca="1" si="126"/>
        <v>20.224719101123597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IFERROR(__xludf.DUMMYFUNCTION("IMPORTRANGE(""https://docs.google.com/spreadsheets/d/11923uPwbBZFjjGgGUA6NLw09EwE0CqkOc4q9oUmW1yo/edit?usp=sharing"",""น่าน!L495"")"),0)</f>
        <v>0</v>
      </c>
      <c r="M600" s="168"/>
      <c r="N600" s="168">
        <f ca="1">IFERROR(__xludf.DUMMYFUNCTION("IMPORTRANGE(""https://docs.google.com/spreadsheets/d/11923uPwbBZFjjGgGUA6NLw09EwE0CqkOc4q9oUmW1yo/edit?usp=sharing"",""น่าน!M495"")"),0)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IFERROR(__xludf.DUMMYFUNCTION("IMPORTRANGE(""https://docs.google.com/spreadsheets/d/11923uPwbBZFjjGgGUA6NLw09EwE0CqkOc4q9oUmW1yo/edit?usp=sharing"",""น่าน!L496"")"),8900)</f>
        <v>8900</v>
      </c>
      <c r="M601" s="168"/>
      <c r="N601" s="168">
        <f ca="1">IFERROR(__xludf.DUMMYFUNCTION("IMPORTRANGE(""https://docs.google.com/spreadsheets/d/11923uPwbBZFjjGgGUA6NLw09EwE0CqkOc4q9oUmW1yo/edit?usp=sharing"",""น่าน!M496"")"),1800)</f>
        <v>1800</v>
      </c>
      <c r="O601" s="168">
        <f t="shared" ca="1" si="126"/>
        <v>20.224719101123597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IFERROR(__xludf.DUMMYFUNCTION("IMPORTRANGE(""https://docs.google.com/spreadsheets/d/11923uPwbBZFjjGgGUA6NLw09EwE0CqkOc4q9oUmW1yo/edit?usp=sharing"",""น่าน!M497"")"),0)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IFERROR(__xludf.DUMMYFUNCTION("IMPORTRANGE(""https://docs.google.com/spreadsheets/d/11923uPwbBZFjjGgGUA6NLw09EwE0CqkOc4q9oUmW1yo/edit?usp=sharing"",""น่าน!M498"")"),0)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IFERROR(__xludf.DUMMYFUNCTION("IMPORTRANGE(""https://docs.google.com/spreadsheets/d/11923uPwbBZFjjGgGUA6NLw09EwE0CqkOc4q9oUmW1yo/edit?usp=sharing"",""น่าน!M499"")"),0)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IFERROR(__xludf.DUMMYFUNCTION("IMPORTRANGE(""https://docs.google.com/spreadsheets/d/11923uPwbBZFjjGgGUA6NLw09EwE0CqkOc4q9oUmW1yo/edit?usp=sharing"",""น่าน!M500"")"),1800)</f>
        <v>1800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IFERROR(__xludf.DUMMYFUNCTION("IMPORTRANGE(""https://docs.google.com/spreadsheets/d/11923uPwbBZFjjGgGUA6NLw09EwE0CqkOc4q9oUmW1yo/edit?usp=sharing"",""น่าน!J502"")"),0)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IFERROR(__xludf.DUMMYFUNCTION("IMPORTRANGE(""https://docs.google.com/spreadsheets/d/11923uPwbBZFjjGgGUA6NLw09EwE0CqkOc4q9oUmW1yo/edit?usp=sharing"",""น่าน!J503"")"),1)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IFERROR(__xludf.DUMMYFUNCTION("IMPORTRANGE(""https://docs.google.com/spreadsheets/d/11923uPwbBZFjjGgGUA6NLw09EwE0CqkOc4q9oUmW1yo/edit?usp=sharing"",""น่าน!J166"")"),0)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IFERROR(__xludf.DUMMYFUNCTION("IMPORTRANGE(""https://docs.google.com/spreadsheets/d/11923uPwbBZFjjGgGUA6NLw09EwE0CqkOc4q9oUmW1yo/edit?usp=sharing"",""น่าน!J166"")"),0)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IFERROR(__xludf.DUMMYFUNCTION("IMPORTRANGE(""https://docs.google.com/spreadsheets/d/11923uPwbBZFjjGgGUA6NLw09EwE0CqkOc4q9oUmW1yo/edit?usp=sharing"",""น่าน!I506"")"),100)</f>
        <v>100</v>
      </c>
      <c r="J611" s="162">
        <f ca="1">IFERROR(__xludf.DUMMYFUNCTION("IMPORTRANGE(""https://docs.google.com/spreadsheets/d/11923uPwbBZFjjGgGUA6NLw09EwE0CqkOc4q9oUmW1yo/edit?usp=sharing"",""น่าน!J506"")"),0)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IFERROR(__xludf.DUMMYFUNCTION("IMPORTRANGE(""https://docs.google.com/spreadsheets/d/11923uPwbBZFjjGgGUA6NLw09EwE0CqkOc4q9oUmW1yo/edit?usp=sharing"",""น่าน!I507"")"),0)</f>
        <v>0</v>
      </c>
      <c r="J612" s="197">
        <f ca="1">IFERROR(__xludf.DUMMYFUNCTION("IMPORTRANGE(""https://docs.google.com/spreadsheets/d/11923uPwbBZFjjGgGUA6NLw09EwE0CqkOc4q9oUmW1yo/edit?usp=sharing"",""น่าน!J507"")"),164)</f>
        <v>164</v>
      </c>
      <c r="K612" s="163">
        <f t="shared" ca="1" si="127"/>
        <v>164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IFERROR(__xludf.DUMMYFUNCTION("IMPORTRANGE(""https://docs.google.com/spreadsheets/d/11923uPwbBZFjjGgGUA6NLw09EwE0CqkOc4q9oUmW1yo/edit?usp=sharing"",""น่าน!I508"")"),0)</f>
        <v>0</v>
      </c>
      <c r="J613" s="197">
        <f ca="1">IFERROR(__xludf.DUMMYFUNCTION("IMPORTRANGE(""https://docs.google.com/spreadsheets/d/11923uPwbBZFjjGgGUA6NLw09EwE0CqkOc4q9oUmW1yo/edit?usp=sharing"",""น่าน!J508"")"),129)</f>
        <v>129</v>
      </c>
      <c r="K613" s="163">
        <f t="shared" ca="1" si="127"/>
        <v>129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IFERROR(__xludf.DUMMYFUNCTION("IMPORTRANGE(""https://docs.google.com/spreadsheets/d/11923uPwbBZFjjGgGUA6NLw09EwE0CqkOc4q9oUmW1yo/edit?usp=sharing"",""น่าน!I509"")"),0)</f>
        <v>0</v>
      </c>
      <c r="J614" s="197">
        <f ca="1">IFERROR(__xludf.DUMMYFUNCTION("IMPORTRANGE(""https://docs.google.com/spreadsheets/d/11923uPwbBZFjjGgGUA6NLw09EwE0CqkOc4q9oUmW1yo/edit?usp=sharing"",""น่าน!J509"")"),129)</f>
        <v>129</v>
      </c>
      <c r="K614" s="163">
        <f t="shared" ca="1" si="127"/>
        <v>129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IFERROR(__xludf.DUMMYFUNCTION("IMPORTRANGE(""https://docs.google.com/spreadsheets/d/11923uPwbBZFjjGgGUA6NLw09EwE0CqkOc4q9oUmW1yo/edit?usp=sharing"",""น่าน!I510"")"),0)</f>
        <v>0</v>
      </c>
      <c r="J615" s="197">
        <f ca="1">IFERROR(__xludf.DUMMYFUNCTION("IMPORTRANGE(""https://docs.google.com/spreadsheets/d/11923uPwbBZFjjGgGUA6NLw09EwE0CqkOc4q9oUmW1yo/edit?usp=sharing"",""น่าน!J510"")"),129)</f>
        <v>129</v>
      </c>
      <c r="K615" s="163">
        <f t="shared" ca="1" si="127"/>
        <v>129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IFERROR(__xludf.DUMMYFUNCTION("IMPORTRANGE(""https://docs.google.com/spreadsheets/d/11923uPwbBZFjjGgGUA6NLw09EwE0CqkOc4q9oUmW1yo/edit?usp=sharing"",""น่าน!I511"")"),0)</f>
        <v>0</v>
      </c>
      <c r="J616" s="197">
        <f ca="1">IFERROR(__xludf.DUMMYFUNCTION("IMPORTRANGE(""https://docs.google.com/spreadsheets/d/11923uPwbBZFjjGgGUA6NLw09EwE0CqkOc4q9oUmW1yo/edit?usp=sharing"",""น่าน!J511"")"),0)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IFERROR(__xludf.DUMMYFUNCTION("IMPORTRANGE(""https://docs.google.com/spreadsheets/d/11923uPwbBZFjjGgGUA6NLw09EwE0CqkOc4q9oUmW1yo/edit?usp=sharing"",""น่าน!I512"")"),0)</f>
        <v>0</v>
      </c>
      <c r="J617" s="187">
        <f ca="1">IFERROR(__xludf.DUMMYFUNCTION("IMPORTRANGE(""https://docs.google.com/spreadsheets/d/11923uPwbBZFjjGgGUA6NLw09EwE0CqkOc4q9oUmW1yo/edit?usp=sharing"",""น่าน!J512"")"),0)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IFERROR(__xludf.DUMMYFUNCTION("IMPORTRANGE(""https://docs.google.com/spreadsheets/d/11923uPwbBZFjjGgGUA6NLw09EwE0CqkOc4q9oUmW1yo/edit?usp=sharing"",""น่าน!I513"")"),0)</f>
        <v>0</v>
      </c>
      <c r="J618" s="188">
        <f ca="1">IFERROR(__xludf.DUMMYFUNCTION("IMPORTRANGE(""https://docs.google.com/spreadsheets/d/11923uPwbBZFjjGgGUA6NLw09EwE0CqkOc4q9oUmW1yo/edit?usp=sharing"",""น่าน!J513"")"),0)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IFERROR(__xludf.DUMMYFUNCTION("IMPORTRANGE(""https://docs.google.com/spreadsheets/d/11923uPwbBZFjjGgGUA6NLw09EwE0CqkOc4q9oUmW1yo/edit?usp=sharing"",""น่าน!I514"")"),0)</f>
        <v>0</v>
      </c>
      <c r="J619" s="188">
        <f ca="1">IFERROR(__xludf.DUMMYFUNCTION("IMPORTRANGE(""https://docs.google.com/spreadsheets/d/11923uPwbBZFjjGgGUA6NLw09EwE0CqkOc4q9oUmW1yo/edit?usp=sharing"",""น่าน!J514"")"),0)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IFERROR(__xludf.DUMMYFUNCTION("IMPORTRANGE(""https://docs.google.com/spreadsheets/d/11923uPwbBZFjjGgGUA6NLw09EwE0CqkOc4q9oUmW1yo/edit?usp=sharing"",""น่าน!I515"")"),0)</f>
        <v>0</v>
      </c>
      <c r="J620" s="202">
        <f ca="1">IFERROR(__xludf.DUMMYFUNCTION("IMPORTRANGE(""https://docs.google.com/spreadsheets/d/11923uPwbBZFjjGgGUA6NLw09EwE0CqkOc4q9oUmW1yo/edit?usp=sharing"",""น่าน!J515"")"),0)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IFERROR(__xludf.DUMMYFUNCTION("IMPORTRANGE(""https://docs.google.com/spreadsheets/d/11923uPwbBZFjjGgGUA6NLw09EwE0CqkOc4q9oUmW1yo/edit?usp=sharing"",""น่าน!I516"")"),0)</f>
        <v>0</v>
      </c>
      <c r="J621" s="202">
        <f ca="1">IFERROR(__xludf.DUMMYFUNCTION("IMPORTRANGE(""https://docs.google.com/spreadsheets/d/11923uPwbBZFjjGgGUA6NLw09EwE0CqkOc4q9oUmW1yo/edit?usp=sharing"",""น่าน!J516"")"),0)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IFERROR(__xludf.DUMMYFUNCTION("IMPORTRANGE(""https://docs.google.com/spreadsheets/d/11923uPwbBZFjjGgGUA6NLw09EwE0CqkOc4q9oUmW1yo/edit?usp=sharing"",""น่าน!I517"")"),0)</f>
        <v>0</v>
      </c>
      <c r="J622" s="188">
        <f ca="1">IFERROR(__xludf.DUMMYFUNCTION("IMPORTRANGE(""https://docs.google.com/spreadsheets/d/11923uPwbBZFjjGgGUA6NLw09EwE0CqkOc4q9oUmW1yo/edit?usp=sharing"",""น่าน!J517"")"),0)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IFERROR(__xludf.DUMMYFUNCTION("IMPORTRANGE(""https://docs.google.com/spreadsheets/d/11923uPwbBZFjjGgGUA6NLw09EwE0CqkOc4q9oUmW1yo/edit?usp=sharing"",""น่าน!I518"")"),0)</f>
        <v>0</v>
      </c>
      <c r="J623" s="188">
        <f ca="1">IFERROR(__xludf.DUMMYFUNCTION("IMPORTRANGE(""https://docs.google.com/spreadsheets/d/11923uPwbBZFjjGgGUA6NLw09EwE0CqkOc4q9oUmW1yo/edit?usp=sharing"",""น่าน!J518"")"),0)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IFERROR(__xludf.DUMMYFUNCTION("IMPORTRANGE(""https://docs.google.com/spreadsheets/d/11923uPwbBZFjjGgGUA6NLw09EwE0CqkOc4q9oUmW1yo/edit?usp=sharing"",""น่าน!I519"")"),0)</f>
        <v>0</v>
      </c>
      <c r="J624" s="187">
        <f ca="1">IFERROR(__xludf.DUMMYFUNCTION("IMPORTRANGE(""https://docs.google.com/spreadsheets/d/11923uPwbBZFjjGgGUA6NLw09EwE0CqkOc4q9oUmW1yo/edit?usp=sharing"",""น่าน!J519"")"),0)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IFERROR(__xludf.DUMMYFUNCTION("IMPORTRANGE(""https://docs.google.com/spreadsheets/d/11923uPwbBZFjjGgGUA6NLw09EwE0CqkOc4q9oUmW1yo/edit?usp=sharing"",""น่าน!I520"")"),0)</f>
        <v>0</v>
      </c>
      <c r="J625" s="188">
        <f ca="1">IFERROR(__xludf.DUMMYFUNCTION("IMPORTRANGE(""https://docs.google.com/spreadsheets/d/11923uPwbBZFjjGgGUA6NLw09EwE0CqkOc4q9oUmW1yo/edit?usp=sharing"",""น่าน!J520"")"),0)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IFERROR(__xludf.DUMMYFUNCTION("IMPORTRANGE(""https://docs.google.com/spreadsheets/d/11923uPwbBZFjjGgGUA6NLw09EwE0CqkOc4q9oUmW1yo/edit?usp=sharing"",""น่าน!I521"")"),0)</f>
        <v>0</v>
      </c>
      <c r="J626" s="188">
        <f ca="1">IFERROR(__xludf.DUMMYFUNCTION("IMPORTRANGE(""https://docs.google.com/spreadsheets/d/11923uPwbBZFjjGgGUA6NLw09EwE0CqkOc4q9oUmW1yo/edit?usp=sharing"",""น่าน!J521"")"),0)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IFERROR(__xludf.DUMMYFUNCTION("IMPORTRANGE(""https://docs.google.com/spreadsheets/d/11923uPwbBZFjjGgGUA6NLw09EwE0CqkOc4q9oUmW1yo/edit?usp=sharing"",""น่าน!I523"")"),5152563.63)</f>
        <v>5152563.63</v>
      </c>
      <c r="J628" s="341">
        <f ca="1">IFERROR(__xludf.DUMMYFUNCTION("IMPORTRANGE(""https://docs.google.com/spreadsheets/d/11923uPwbBZFjjGgGUA6NLw09EwE0CqkOc4q9oUmW1yo/edit?usp=sharing"",""น่าน!J523"")"),2696073.88)</f>
        <v>2696073.88</v>
      </c>
      <c r="K628" s="342">
        <f t="shared" ref="K628:K635" ca="1" si="129">IF(I628&gt;0,J628*100/I628,0)</f>
        <v>52.324902196307278</v>
      </c>
      <c r="L628" s="342"/>
      <c r="M628" s="342"/>
      <c r="N628" s="342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IFERROR(__xludf.DUMMYFUNCTION("IMPORTRANGE(""https://docs.google.com/spreadsheets/d/11923uPwbBZFjjGgGUA6NLw09EwE0CqkOc4q9oUmW1yo/edit?usp=sharing"",""น่าน!I524"")"),327)</f>
        <v>327</v>
      </c>
      <c r="J629" s="341">
        <f ca="1">IFERROR(__xludf.DUMMYFUNCTION("IMPORTRANGE(""https://docs.google.com/spreadsheets/d/11923uPwbBZFjjGgGUA6NLw09EwE0CqkOc4q9oUmW1yo/edit?usp=sharing"",""น่าน!J524"")"),179)</f>
        <v>179</v>
      </c>
      <c r="K629" s="342">
        <f t="shared" ca="1" si="129"/>
        <v>54.740061162079513</v>
      </c>
      <c r="L629" s="342"/>
      <c r="M629" s="342"/>
      <c r="N629" s="342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IFERROR(__xludf.DUMMYFUNCTION("IMPORTRANGE(""https://docs.google.com/spreadsheets/d/11923uPwbBZFjjGgGUA6NLw09EwE0CqkOc4q9oUmW1yo/edit?usp=sharing"",""น่าน!I525"")"),1068977.23)</f>
        <v>1068977.23</v>
      </c>
      <c r="J630" s="341">
        <f ca="1">IFERROR(__xludf.DUMMYFUNCTION("IMPORTRANGE(""https://docs.google.com/spreadsheets/d/11923uPwbBZFjjGgGUA6NLw09EwE0CqkOc4q9oUmW1yo/edit?usp=sharing"",""น่าน!J525"")"),390808.1)</f>
        <v>390808.1</v>
      </c>
      <c r="K630" s="342">
        <f t="shared" ca="1" si="129"/>
        <v>36.559066838121517</v>
      </c>
      <c r="L630" s="342"/>
      <c r="M630" s="342"/>
      <c r="N630" s="342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IFERROR(__xludf.DUMMYFUNCTION("IMPORTRANGE(""https://docs.google.com/spreadsheets/d/11923uPwbBZFjjGgGUA6NLw09EwE0CqkOc4q9oUmW1yo/edit?usp=sharing"",""น่าน!I526"")"),68)</f>
        <v>68</v>
      </c>
      <c r="J631" s="341">
        <f ca="1">IFERROR(__xludf.DUMMYFUNCTION("IMPORTRANGE(""https://docs.google.com/spreadsheets/d/11923uPwbBZFjjGgGUA6NLw09EwE0CqkOc4q9oUmW1yo/edit?usp=sharing"",""น่าน!J526"")"),59)</f>
        <v>59</v>
      </c>
      <c r="K631" s="342">
        <f t="shared" ca="1" si="129"/>
        <v>86.764705882352942</v>
      </c>
      <c r="L631" s="342"/>
      <c r="M631" s="342"/>
      <c r="N631" s="342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IFERROR(__xludf.DUMMYFUNCTION("IMPORTRANGE(""https://docs.google.com/spreadsheets/d/11923uPwbBZFjjGgGUA6NLw09EwE0CqkOc4q9oUmW1yo/edit?usp=sharing"",""น่าน!I527"")"),0)</f>
        <v>0</v>
      </c>
      <c r="J632" s="341">
        <f ca="1">IFERROR(__xludf.DUMMYFUNCTION("IMPORTRANGE(""https://docs.google.com/spreadsheets/d/11923uPwbBZFjjGgGUA6NLw09EwE0CqkOc4q9oUmW1yo/edit?usp=sharing"",""น่าน!J527"")"),0)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IFERROR(__xludf.DUMMYFUNCTION("IMPORTRANGE(""https://docs.google.com/spreadsheets/d/11923uPwbBZFjjGgGUA6NLw09EwE0CqkOc4q9oUmW1yo/edit?usp=sharing"",""น่าน!I528"")"),0)</f>
        <v>0</v>
      </c>
      <c r="J633" s="341">
        <f ca="1">IFERROR(__xludf.DUMMYFUNCTION("IMPORTRANGE(""https://docs.google.com/spreadsheets/d/11923uPwbBZFjjGgGUA6NLw09EwE0CqkOc4q9oUmW1yo/edit?usp=sharing"",""น่าน!J528"")"),0)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IFERROR(__xludf.DUMMYFUNCTION("IMPORTRANGE(""https://docs.google.com/spreadsheets/d/11923uPwbBZFjjGgGUA6NLw09EwE0CqkOc4q9oUmW1yo/edit?usp=sharing"",""น่าน!I529"")"),6000000)</f>
        <v>6000000</v>
      </c>
      <c r="J634" s="341">
        <f ca="1">IFERROR(__xludf.DUMMYFUNCTION("IMPORTRANGE(""https://docs.google.com/spreadsheets/d/11923uPwbBZFjjGgGUA6NLw09EwE0CqkOc4q9oUmW1yo/edit?usp=sharing"",""น่าน!J529"")"),2210000)</f>
        <v>2210000</v>
      </c>
      <c r="K634" s="342">
        <f t="shared" ca="1" si="129"/>
        <v>36.833333333333336</v>
      </c>
      <c r="L634" s="342"/>
      <c r="M634" s="342"/>
      <c r="N634" s="342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IFERROR(__xludf.DUMMYFUNCTION("IMPORTRANGE(""https://docs.google.com/spreadsheets/d/11923uPwbBZFjjGgGUA6NLw09EwE0CqkOc4q9oUmW1yo/edit?usp=sharing"",""น่าน!I530"")"),223)</f>
        <v>223</v>
      </c>
      <c r="J635" s="504">
        <f ca="1">IFERROR(__xludf.DUMMYFUNCTION("IMPORTRANGE(""https://docs.google.com/spreadsheets/d/11923uPwbBZFjjGgGUA6NLw09EwE0CqkOc4q9oUmW1yo/edit?usp=sharing"",""น่าน!J530"")"),52)</f>
        <v>52</v>
      </c>
      <c r="K635" s="486">
        <f t="shared" ca="1" si="129"/>
        <v>23.318385650224215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5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5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IFERROR(__xludf.DUMMYFUNCTION("IMPORTRANGE(""https://docs.google.com/spreadsheets/d/11923uPwbBZFjjGgGUA6NLw09EwE0CqkOc4q9oUmW1yo/edit?usp=sharing"",""น่าน!J541"")"),0)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5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IFERROR(__xludf.DUMMYFUNCTION("IMPORTRANGE(""https://docs.google.com/spreadsheets/d/11923uPwbBZFjjGgGUA6NLw09EwE0CqkOc4q9oUmW1yo/edit?usp=sharing"",""น่าน!J542"")"),0)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5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IFERROR(__xludf.DUMMYFUNCTION("IMPORTRANGE(""https://docs.google.com/spreadsheets/d/11923uPwbBZFjjGgGUA6NLw09EwE0CqkOc4q9oUmW1yo/edit?usp=sharing"",""น่าน!I543"")"),0)</f>
        <v>0</v>
      </c>
      <c r="J648" s="535">
        <f ca="1">IFERROR(__xludf.DUMMYFUNCTION("IMPORTRANGE(""https://docs.google.com/spreadsheets/d/11923uPwbBZFjjGgGUA6NLw09EwE0CqkOc4q9oUmW1yo/edit?usp=sharing"",""น่าน!J543"")"),0)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IFERROR(__xludf.DUMMYFUNCTION("IMPORTRANGE(""https://docs.google.com/spreadsheets/d/11923uPwbBZFjjGgGUA6NLw09EwE0CqkOc4q9oUmW1yo/edit?usp=sharing"",""น่าน!L543"")"),0)</f>
        <v>0</v>
      </c>
      <c r="M648" s="520"/>
      <c r="N648" s="537">
        <f ca="1">IFERROR(__xludf.DUMMYFUNCTION("IMPORTRANGE(""https://docs.google.com/spreadsheets/d/11923uPwbBZFjjGgGUA6NLw09EwE0CqkOc4q9oUmW1yo/edit?usp=sharing"",""น่าน!M543"")"),0)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5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IFERROR(__xludf.DUMMYFUNCTION("IMPORTRANGE(""https://docs.google.com/spreadsheets/d/11923uPwbBZFjjGgGUA6NLw09EwE0CqkOc4q9oUmW1yo/edit?usp=sharing"",""น่าน!I544"")"),0)</f>
        <v>0</v>
      </c>
      <c r="J649" s="535">
        <f ca="1">IFERROR(__xludf.DUMMYFUNCTION("IMPORTRANGE(""https://docs.google.com/spreadsheets/d/11923uPwbBZFjjGgGUA6NLw09EwE0CqkOc4q9oUmW1yo/edit?usp=sharing"",""น่าน!J544"")"),0)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IFERROR(__xludf.DUMMYFUNCTION("IMPORTRANGE(""https://docs.google.com/spreadsheets/d/11923uPwbBZFjjGgGUA6NLw09EwE0CqkOc4q9oUmW1yo/edit?usp=sharing"",""น่าน!L544"")"),0)</f>
        <v>0</v>
      </c>
      <c r="M649" s="520"/>
      <c r="N649" s="537">
        <f ca="1">IFERROR(__xludf.DUMMYFUNCTION("IMPORTRANGE(""https://docs.google.com/spreadsheets/d/11923uPwbBZFjjGgGUA6NLw09EwE0CqkOc4q9oUmW1yo/edit?usp=sharing"",""น่าน!M544"")"),0)</f>
        <v>0</v>
      </c>
      <c r="O649" s="536">
        <f t="shared" ca="1" si="132"/>
        <v>0</v>
      </c>
      <c r="P649" s="536"/>
    </row>
    <row r="650" spans="1:16" ht="21.75" customHeight="1" x14ac:dyDescent="0.45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IFERROR(__xludf.DUMMYFUNCTION("IMPORTRANGE(""https://docs.google.com/spreadsheets/d/11923uPwbBZFjjGgGUA6NLw09EwE0CqkOc4q9oUmW1yo/edit?usp=sharing"",""น่าน!I545"")"),0)</f>
        <v>0</v>
      </c>
      <c r="J650" s="535">
        <f ca="1">IFERROR(__xludf.DUMMYFUNCTION("IMPORTRANGE(""https://docs.google.com/spreadsheets/d/11923uPwbBZFjjGgGUA6NLw09EwE0CqkOc4q9oUmW1yo/edit?usp=sharing"",""น่าน!J545"")"),0)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IFERROR(__xludf.DUMMYFUNCTION("IMPORTRANGE(""https://docs.google.com/spreadsheets/d/11923uPwbBZFjjGgGUA6NLw09EwE0CqkOc4q9oUmW1yo/edit?usp=sharing"",""น่าน!L545"")"),0)</f>
        <v>0</v>
      </c>
      <c r="M650" s="520"/>
      <c r="N650" s="537">
        <f ca="1">IFERROR(__xludf.DUMMYFUNCTION("IMPORTRANGE(""https://docs.google.com/spreadsheets/d/11923uPwbBZFjjGgGUA6NLw09EwE0CqkOc4q9oUmW1yo/edit?usp=sharing"",""น่าน!M545"")"),0)</f>
        <v>0</v>
      </c>
      <c r="O650" s="536">
        <f t="shared" ca="1" si="132"/>
        <v>0</v>
      </c>
      <c r="P650" s="536"/>
    </row>
    <row r="651" spans="1:16" ht="21.75" customHeight="1" x14ac:dyDescent="0.45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IFERROR(__xludf.DUMMYFUNCTION("IMPORTRANGE(""https://docs.google.com/spreadsheets/d/11923uPwbBZFjjGgGUA6NLw09EwE0CqkOc4q9oUmW1yo/edit?usp=sharing"",""น่าน!I546"")"),0)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IFERROR(__xludf.DUMMYFUNCTION("IMPORTRANGE(""https://docs.google.com/spreadsheets/d/11923uPwbBZFjjGgGUA6NLw09EwE0CqkOc4q9oUmW1yo/edit?usp=sharing"",""น่าน!L546"")"),0)</f>
        <v>0</v>
      </c>
      <c r="M651" s="520"/>
      <c r="N651" s="537">
        <f ca="1">IFERROR(__xludf.DUMMYFUNCTION("IMPORTRANGE(""https://docs.google.com/spreadsheets/d/11923uPwbBZFjjGgGUA6NLw09EwE0CqkOc4q9oUmW1yo/edit?usp=sharing"",""น่าน!M546"")"),0)</f>
        <v>0</v>
      </c>
      <c r="O651" s="536">
        <f t="shared" ca="1" si="132"/>
        <v>0</v>
      </c>
      <c r="P651" s="536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IFERROR(__xludf.DUMMYFUNCTION("IMPORTRANGE(""https://docs.google.com/spreadsheets/d/11923uPwbBZFjjGgGUA6NLw09EwE0CqkOc4q9oUmW1yo/edit?usp=sharing"",""น่าน!J547"")"),0)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IFERROR(__xludf.DUMMYFUNCTION("IMPORTRANGE(""https://docs.google.com/spreadsheets/d/11923uPwbBZFjjGgGUA6NLw09EwE0CqkOc4q9oUmW1yo/edit?usp=sharing"",""น่าน!J548"")"),0)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IFERROR(__xludf.DUMMYFUNCTION("IMPORTRANGE(""https://docs.google.com/spreadsheets/d/11923uPwbBZFjjGgGUA6NLw09EwE0CqkOc4q9oUmW1yo/edit?usp=sharing"",""น่าน!J550"")"),0)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IFERROR(__xludf.DUMMYFUNCTION("IMPORTRANGE(""https://docs.google.com/spreadsheets/d/11923uPwbBZFjjGgGUA6NLw09EwE0CqkOc4q9oUmW1yo/edit?usp=sharing"",""น่าน!J551"")"),0)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IFERROR(__xludf.DUMMYFUNCTION("IMPORTRANGE(""https://docs.google.com/spreadsheets/d/11923uPwbBZFjjGgGUA6NLw09EwE0CqkOc4q9oUmW1yo/edit?usp=sharing"",""น่าน!J552"")"),0)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IFERROR(__xludf.DUMMYFUNCTION("IMPORTRANGE(""https://docs.google.com/spreadsheets/d/11923uPwbBZFjjGgGUA6NLw09EwE0CqkOc4q9oUmW1yo/edit?usp=sharing"",""น่าน!J553"")"),0)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IFERROR(__xludf.DUMMYFUNCTION("IMPORTRANGE(""https://docs.google.com/spreadsheets/d/11923uPwbBZFjjGgGUA6NLw09EwE0CqkOc4q9oUmW1yo/edit?usp=sharing"",""น่าน!J554"")"),0)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IFERROR(__xludf.DUMMYFUNCTION("IMPORTRANGE(""https://docs.google.com/spreadsheets/d/11923uPwbBZFjjGgGUA6NLw09EwE0CqkOc4q9oUmW1yo/edit?usp=sharing"",""น่าน!J555"")"),0)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5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IFERROR(__xludf.DUMMYFUNCTION("IMPORTRANGE(""https://docs.google.com/spreadsheets/d/11923uPwbBZFjjGgGUA6NLw09EwE0CqkOc4q9oUmW1yo/edit?usp=sharing"",""น่าน!J556"")"),0)</f>
        <v>0</v>
      </c>
      <c r="K661" s="536"/>
      <c r="L661" s="521">
        <f ca="1">IFERROR(__xludf.DUMMYFUNCTION("IMPORTRANGE(""https://docs.google.com/spreadsheets/d/11923uPwbBZFjjGgGUA6NLw09EwE0CqkOc4q9oUmW1yo/edit?usp=sharing"",""น่าน!L556"")"),0)</f>
        <v>0</v>
      </c>
      <c r="M661" s="520"/>
      <c r="N661" s="537">
        <f ca="1">IFERROR(__xludf.DUMMYFUNCTION("IMPORTRANGE(""https://docs.google.com/spreadsheets/d/11923uPwbBZFjjGgGUA6NLw09EwE0CqkOc4q9oUmW1yo/edit?usp=sharing"",""น่าน!M556"")"),0)</f>
        <v>0</v>
      </c>
      <c r="O661" s="536">
        <f ca="1">IF(L661&gt;0,N661*100/L661,0)</f>
        <v>0</v>
      </c>
      <c r="P661" s="536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IFERROR(__xludf.DUMMYFUNCTION("IMPORTRANGE(""https://docs.google.com/spreadsheets/d/11923uPwbBZFjjGgGUA6NLw09EwE0CqkOc4q9oUmW1yo/edit?usp=sharing"",""น่าน!J557"")"),0)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IFERROR(__xludf.DUMMYFUNCTION("IMPORTRANGE(""https://docs.google.com/spreadsheets/d/11923uPwbBZFjjGgGUA6NLw09EwE0CqkOc4q9oUmW1yo/edit?usp=sharing"",""น่าน!I558"")"),0)</f>
        <v>0</v>
      </c>
      <c r="J663" s="535">
        <f ca="1">IFERROR(__xludf.DUMMYFUNCTION("IMPORTRANGE(""https://docs.google.com/spreadsheets/d/11923uPwbBZFjjGgGUA6NLw09EwE0CqkOc4q9oUmW1yo/edit?usp=sharing"",""น่าน!J558"")"),0)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5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IFERROR(__xludf.DUMMYFUNCTION("IMPORTRANGE(""https://docs.google.com/spreadsheets/d/11923uPwbBZFjjGgGUA6NLw09EwE0CqkOc4q9oUmW1yo/edit?usp=sharing"",""น่าน!I560"")"),0)</f>
        <v>0</v>
      </c>
      <c r="J665" s="535">
        <f ca="1">IFERROR(__xludf.DUMMYFUNCTION("IMPORTRANGE(""https://docs.google.com/spreadsheets/d/11923uPwbBZFjjGgGUA6NLw09EwE0CqkOc4q9oUmW1yo/edit?usp=sharing"",""น่าน!J560"")"),0)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IFERROR(__xludf.DUMMYFUNCTION("IMPORTRANGE(""https://docs.google.com/spreadsheets/d/11923uPwbBZFjjGgGUA6NLw09EwE0CqkOc4q9oUmW1yo/edit?usp=sharing"",""น่าน!L560"")"),0)</f>
        <v>0</v>
      </c>
      <c r="M665" s="520"/>
      <c r="N665" s="537">
        <f ca="1">IFERROR(__xludf.DUMMYFUNCTION("IMPORTRANGE(""https://docs.google.com/spreadsheets/d/11923uPwbBZFjjGgGUA6NLw09EwE0CqkOc4q9oUmW1yo/edit?usp=sharing"",""น่าน!M560"")"),0)</f>
        <v>0</v>
      </c>
      <c r="O665" s="536">
        <f ca="1">IF(L665&gt;0,N665*100/L665,0)</f>
        <v>0</v>
      </c>
      <c r="P665" s="536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IFERROR(__xludf.DUMMYFUNCTION("IMPORTRANGE(""https://docs.google.com/spreadsheets/d/11923uPwbBZFjjGgGUA6NLw09EwE0CqkOc4q9oUmW1yo/edit?usp=sharing"",""น่าน!J561"")"),0)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IFERROR(__xludf.DUMMYFUNCTION("IMPORTRANGE(""https://docs.google.com/spreadsheets/d/11923uPwbBZFjjGgGUA6NLw09EwE0CqkOc4q9oUmW1yo/edit?usp=sharing"",""น่าน!J562"")"),0)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IFERROR(__xludf.DUMMYFUNCTION("IMPORTRANGE(""https://docs.google.com/spreadsheets/d/11923uPwbBZFjjGgGUA6NLw09EwE0CqkOc4q9oUmW1yo/edit?usp=sharing"",""น่าน!I563"")"),0)</f>
        <v>0</v>
      </c>
      <c r="J668" s="535">
        <f ca="1">IFERROR(__xludf.DUMMYFUNCTION("IMPORTRANGE(""https://docs.google.com/spreadsheets/d/11923uPwbBZFjjGgGUA6NLw09EwE0CqkOc4q9oUmW1yo/edit?usp=sharing"",""น่าน!J563"")"),0)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IFERROR(__xludf.DUMMYFUNCTION("IMPORTRANGE(""https://docs.google.com/spreadsheets/d/11923uPwbBZFjjGgGUA6NLw09EwE0CqkOc4q9oUmW1yo/edit?usp=sharing"",""น่าน!L563"")"),0)</f>
        <v>0</v>
      </c>
      <c r="M668" s="520"/>
      <c r="N668" s="537">
        <f ca="1">IFERROR(__xludf.DUMMYFUNCTION("IMPORTRANGE(""https://docs.google.com/spreadsheets/d/11923uPwbBZFjjGgGUA6NLw09EwE0CqkOc4q9oUmW1yo/edit?usp=sharing"",""น่าน!M563"")"),0)</f>
        <v>0</v>
      </c>
      <c r="O668" s="536">
        <f ca="1">IF(L668&gt;0,N668*100/L668,0)</f>
        <v>0</v>
      </c>
      <c r="P668" s="536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IFERROR(__xludf.DUMMYFUNCTION("IMPORTRANGE(""https://docs.google.com/spreadsheets/d/11923uPwbBZFjjGgGUA6NLw09EwE0CqkOc4q9oUmW1yo/edit?usp=sharing"",""น่าน!J564"")"),0)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IFERROR(__xludf.DUMMYFUNCTION("IMPORTRANGE(""https://docs.google.com/spreadsheets/d/11923uPwbBZFjjGgGUA6NLw09EwE0CqkOc4q9oUmW1yo/edit?usp=sharing"",""น่าน!J565"")"),0)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5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IFERROR(__xludf.DUMMYFUNCTION("IMPORTRANGE(""https://docs.google.com/spreadsheets/d/11923uPwbBZFjjGgGUA6NLw09EwE0CqkOc4q9oUmW1yo/edit?usp=sharing"",""น่าน!I566"")"),0)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IFERROR(__xludf.DUMMYFUNCTION("IMPORTRANGE(""https://docs.google.com/spreadsheets/d/11923uPwbBZFjjGgGUA6NLw09EwE0CqkOc4q9oUmW1yo/edit?usp=sharing"",""น่าน!L566"")"),0)</f>
        <v>0</v>
      </c>
      <c r="M671" s="520"/>
      <c r="N671" s="537">
        <f ca="1">IFERROR(__xludf.DUMMYFUNCTION("IMPORTRANGE(""https://docs.google.com/spreadsheets/d/11923uPwbBZFjjGgGUA6NLw09EwE0CqkOc4q9oUmW1yo/edit?usp=sharing"",""น่าน!M566"")"),0)</f>
        <v>0</v>
      </c>
      <c r="O671" s="536">
        <f ca="1">IF(L671&gt;0,N671*100/L671,0)</f>
        <v>0</v>
      </c>
      <c r="P671" s="536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IFERROR(__xludf.DUMMYFUNCTION("IMPORTRANGE(""https://docs.google.com/spreadsheets/d/11923uPwbBZFjjGgGUA6NLw09EwE0CqkOc4q9oUmW1yo/edit?usp=sharing"",""น่าน!J567"")"),0)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IFERROR(__xludf.DUMMYFUNCTION("IMPORTRANGE(""https://docs.google.com/spreadsheets/d/11923uPwbBZFjjGgGUA6NLw09EwE0CqkOc4q9oUmW1yo/edit?usp=sharing"",""น่าน!J568"")"),0)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IFERROR(__xludf.DUMMYFUNCTION("IMPORTRANGE(""https://docs.google.com/spreadsheets/d/11923uPwbBZFjjGgGUA6NLw09EwE0CqkOc4q9oUmW1yo/edit?usp=sharing"",""น่าน!J569"")"),0)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IFERROR(__xludf.DUMMYFUNCTION("IMPORTRANGE(""https://docs.google.com/spreadsheets/d/11923uPwbBZFjjGgGUA6NLw09EwE0CqkOc4q9oUmW1yo/edit?usp=sharing"",""น่าน!J570"")"),0)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IFERROR(__xludf.DUMMYFUNCTION("IMPORTRANGE(""https://docs.google.com/spreadsheets/d/11923uPwbBZFjjGgGUA6NLw09EwE0CqkOc4q9oUmW1yo/edit?usp=sharing"",""น่าน!J571"")"),0)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5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IFERROR(__xludf.DUMMYFUNCTION("IMPORTRANGE(""https://docs.google.com/spreadsheets/d/11923uPwbBZFjjGgGUA6NLw09EwE0CqkOc4q9oUmW1yo/edit?usp=sharing"",""น่าน!J572"")"),0)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35">
      <c r="A2" s="577" t="s">
        <v>272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3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6316311</v>
      </c>
      <c r="M8" s="23">
        <f t="shared" ca="1" si="0"/>
        <v>3188124.3</v>
      </c>
      <c r="N8" s="23">
        <f t="shared" ca="1" si="0"/>
        <v>3441521.04</v>
      </c>
      <c r="O8" s="22">
        <f t="shared" ref="O8:O16" ca="1" si="1">IF(L8&gt;0,N8*100/L8,0)</f>
        <v>54.486250597856881</v>
      </c>
      <c r="P8" s="22">
        <f t="shared" ref="P8:P16" ca="1" si="2">IF(M8&gt;0,N8*100/M8,0)</f>
        <v>107.94814493274306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6316311</v>
      </c>
      <c r="M10" s="30">
        <f t="shared" ca="1" si="4"/>
        <v>3188124.3</v>
      </c>
      <c r="N10" s="30">
        <f t="shared" ca="1" si="4"/>
        <v>3441521.04</v>
      </c>
      <c r="O10" s="29">
        <f t="shared" ca="1" si="1"/>
        <v>54.486250597856881</v>
      </c>
      <c r="P10" s="29">
        <f t="shared" ca="1" si="2"/>
        <v>107.94814493274306</v>
      </c>
    </row>
    <row r="11" spans="1:16" ht="21.75" customHeight="1" x14ac:dyDescent="0.45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5924511</v>
      </c>
      <c r="M12" s="39">
        <f t="shared" ca="1" si="6"/>
        <v>2796324.3</v>
      </c>
      <c r="N12" s="39">
        <f t="shared" ca="1" si="6"/>
        <v>3049721.04</v>
      </c>
      <c r="O12" s="39">
        <f t="shared" ca="1" si="1"/>
        <v>51.476333489801945</v>
      </c>
      <c r="P12" s="39">
        <f t="shared" ca="1" si="2"/>
        <v>109.06177942236529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1732200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4192311</v>
      </c>
      <c r="M14" s="39">
        <f t="shared" si="8"/>
        <v>0</v>
      </c>
      <c r="N14" s="39">
        <f t="shared" ca="1" si="8"/>
        <v>914731.78999999992</v>
      </c>
      <c r="O14" s="39">
        <f t="shared" ca="1" si="1"/>
        <v>21.819273188463352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391800</v>
      </c>
      <c r="M16" s="39">
        <f t="shared" ca="1" si="10"/>
        <v>391800</v>
      </c>
      <c r="N16" s="39">
        <f t="shared" ca="1" si="10"/>
        <v>391800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3768875</v>
      </c>
      <c r="M18" s="23">
        <f t="shared" ca="1" si="11"/>
        <v>3188124.3</v>
      </c>
      <c r="N18" s="23">
        <f t="shared" ca="1" si="11"/>
        <v>2526789.25</v>
      </c>
      <c r="O18" s="22">
        <f t="shared" ref="O18:O20" ca="1" si="12">IF(L18&gt;0,N18*100/L18,0)</f>
        <v>67.043593910649733</v>
      </c>
      <c r="P18" s="22">
        <f t="shared" ref="P18:P26" ca="1" si="13">IF(M18&gt;0,N18*100/M18,0)</f>
        <v>79.256296562841044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3768875</v>
      </c>
      <c r="M20" s="30">
        <f t="shared" ca="1" si="15"/>
        <v>3188124.3</v>
      </c>
      <c r="N20" s="30">
        <f t="shared" ca="1" si="15"/>
        <v>2526789.25</v>
      </c>
      <c r="O20" s="29">
        <f t="shared" ca="1" si="12"/>
        <v>67.043593910649733</v>
      </c>
      <c r="P20" s="29">
        <f t="shared" ca="1" si="13"/>
        <v>79.256296562841044</v>
      </c>
    </row>
    <row r="21" spans="1:16" ht="21.75" customHeight="1" x14ac:dyDescent="0.45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3377075</v>
      </c>
      <c r="M22" s="42">
        <f t="shared" ca="1" si="18"/>
        <v>2796324.3</v>
      </c>
      <c r="N22" s="39">
        <f t="shared" ca="1" si="18"/>
        <v>2134989.25</v>
      </c>
      <c r="O22" s="39">
        <f t="shared" ca="1" si="17"/>
        <v>63.22007210381765</v>
      </c>
      <c r="P22" s="39">
        <f t="shared" ca="1" si="13"/>
        <v>76.349844329572221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1732200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1644875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391800</v>
      </c>
      <c r="M26" s="50">
        <f t="shared" ca="1" si="22"/>
        <v>391800</v>
      </c>
      <c r="N26" s="50">
        <f t="shared" ca="1" si="22"/>
        <v>391800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2547436</v>
      </c>
      <c r="M28" s="23">
        <f t="shared" si="23"/>
        <v>0</v>
      </c>
      <c r="N28" s="23">
        <f t="shared" ca="1" si="23"/>
        <v>914731.78999999992</v>
      </c>
      <c r="O28" s="22">
        <f t="shared" ref="O28:O30" ca="1" si="24">IF(L28&gt;0,N28*100/L28,0)</f>
        <v>35.907939983575638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2547436</v>
      </c>
      <c r="M30" s="30">
        <f t="shared" si="27"/>
        <v>0</v>
      </c>
      <c r="N30" s="30">
        <f t="shared" ca="1" si="27"/>
        <v>914731.78999999992</v>
      </c>
      <c r="O30" s="29">
        <f t="shared" ca="1" si="24"/>
        <v>35.907939983575638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2547436</v>
      </c>
      <c r="M32" s="39">
        <f t="shared" si="30"/>
        <v>0</v>
      </c>
      <c r="N32" s="39">
        <f t="shared" ca="1" si="30"/>
        <v>914731.78999999992</v>
      </c>
      <c r="O32" s="39">
        <f t="shared" ca="1" si="29"/>
        <v>35.907939983575638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2547436</v>
      </c>
      <c r="M34" s="39">
        <f t="shared" si="32"/>
        <v>0</v>
      </c>
      <c r="N34" s="39">
        <f t="shared" ca="1" si="32"/>
        <v>914731.78999999992</v>
      </c>
      <c r="O34" s="39">
        <f t="shared" ca="1" si="29"/>
        <v>35.907939983575638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3768875</v>
      </c>
      <c r="M37" s="55">
        <f t="shared" ca="1" si="33"/>
        <v>3188124.3</v>
      </c>
      <c r="N37" s="55">
        <f t="shared" ca="1" si="33"/>
        <v>2526789.25</v>
      </c>
      <c r="O37" s="56">
        <f t="shared" ca="1" si="29"/>
        <v>67.043593910649733</v>
      </c>
      <c r="P37" s="56">
        <f t="shared" ca="1" si="25"/>
        <v>79.256296562841044</v>
      </c>
    </row>
    <row r="38" spans="1:16" ht="21.75" customHeight="1" x14ac:dyDescent="0.45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811700</v>
      </c>
      <c r="M41" s="79">
        <f t="shared" ca="1" si="34"/>
        <v>656800</v>
      </c>
      <c r="N41" s="79">
        <f t="shared" ca="1" si="34"/>
        <v>540911.81000000006</v>
      </c>
      <c r="O41" s="78">
        <f t="shared" ref="O41:O43" ca="1" si="35">IF(L41&gt;0,N41*100/L41,0)</f>
        <v>66.639375384994466</v>
      </c>
      <c r="P41" s="78">
        <f t="shared" ref="P41:P43" ca="1" si="36">IF(M41&gt;0,N41*100/M41,0)</f>
        <v>82.355634896467734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811700</v>
      </c>
      <c r="M43" s="79">
        <f t="shared" ca="1" si="38"/>
        <v>656800</v>
      </c>
      <c r="N43" s="79">
        <f t="shared" ca="1" si="38"/>
        <v>540911.81000000006</v>
      </c>
      <c r="O43" s="78">
        <f t="shared" ca="1" si="35"/>
        <v>66.639375384994466</v>
      </c>
      <c r="P43" s="78">
        <f t="shared" ca="1" si="36"/>
        <v>82.355634896467734</v>
      </c>
    </row>
    <row r="44" spans="1:16" ht="21.75" customHeight="1" x14ac:dyDescent="0.45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619700</v>
      </c>
      <c r="M45" s="50">
        <f ca="1">IFERROR(__xludf.DUMMYFUNCTION("IMPORTRANGE(""https://docs.google.com/spreadsheets/d/1Yj_ptqi66GCucihVvJfMjLAmec39IyEx_6qawtMGysU/edit?usp=sharing"",""สบก!Q26"")"),464800)</f>
        <v>464800</v>
      </c>
      <c r="N45" s="50">
        <f ca="1">IFERROR(__xludf.DUMMYFUNCTION("IMPORTRANGE(""https://docs.google.com/spreadsheets/d/1Yj_ptqi66GCucihVvJfMjLAmec39IyEx_6qawtMGysU/edit?usp=sharing"",""สบก!R26"")"),348911.81)</f>
        <v>348911.81</v>
      </c>
      <c r="O45" s="39">
        <f ca="1">IF(L45&gt;0,N45*100/L45,0)</f>
        <v>56.30334193964822</v>
      </c>
      <c r="P45" s="39">
        <f ca="1">IF(M45&gt;0,N45*100/M45,0)</f>
        <v>75.067084767642001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IFERROR(__xludf.DUMMYFUNCTION("IMPORTRANGE(""https://docs.google.com/spreadsheets/d/1Yj_ptqi66GCucihVvJfMjLAmec39IyEx_6qawtMGysU/edit?usp=sharing"",""สบก!M26"")"),619700)</f>
        <v>619700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IFERROR(__xludf.DUMMYFUNCTION("IMPORTRANGE(""https://docs.google.com/spreadsheets/d/1Yj_ptqi66GCucihVvJfMjLAmec39IyEx_6qawtMGysU/edit?usp=sharing"",""สบก!N26"")"),0)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IFERROR(__xludf.DUMMYFUNCTION("IMPORTRANGE(""https://docs.google.com/spreadsheets/d/1Yj_ptqi66GCucihVvJfMjLAmec39IyEx_6qawtMGysU/edit?usp=sharing"",""สบก!O26"")"),192000)</f>
        <v>192000</v>
      </c>
      <c r="M49" s="50">
        <f ca="1">L49</f>
        <v>192000</v>
      </c>
      <c r="N49" s="50">
        <f ca="1">IFERROR(__xludf.DUMMYFUNCTION("IMPORTRANGE(""https://docs.google.com/spreadsheets/d/1Yj_ptqi66GCucihVvJfMjLAmec39IyEx_6qawtMGysU/edit?usp=sharing"",""สบก!S26"")"),192000)</f>
        <v>192000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456000</v>
      </c>
      <c r="M53" s="121">
        <f t="shared" ca="1" si="39"/>
        <v>363649.3</v>
      </c>
      <c r="N53" s="121">
        <f t="shared" ca="1" si="39"/>
        <v>298480</v>
      </c>
      <c r="O53" s="120">
        <f t="shared" ref="O53:O55" ca="1" si="40">IF(L53&gt;0,N53*100/L53,0)</f>
        <v>65.456140350877192</v>
      </c>
      <c r="P53" s="120">
        <f t="shared" ref="P53:P55" ca="1" si="41">IF(M53&gt;0,N53*100/M53,0)</f>
        <v>82.079080036727703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456000</v>
      </c>
      <c r="M55" s="121">
        <f t="shared" ca="1" si="43"/>
        <v>363649.3</v>
      </c>
      <c r="N55" s="121">
        <f t="shared" ca="1" si="43"/>
        <v>298480</v>
      </c>
      <c r="O55" s="120">
        <f t="shared" ca="1" si="40"/>
        <v>65.456140350877192</v>
      </c>
      <c r="P55" s="120">
        <f t="shared" ca="1" si="41"/>
        <v>82.079080036727703</v>
      </c>
    </row>
    <row r="56" spans="1:16" ht="21.75" customHeight="1" x14ac:dyDescent="0.45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456000</v>
      </c>
      <c r="M57" s="50">
        <f ca="1">IFERROR(__xludf.DUMMYFUNCTION("IMPORTRANGE(""https://docs.google.com/spreadsheets/d/1Yj_ptqi66GCucihVvJfMjLAmec39IyEx_6qawtMGysU/edit?usp=sharing"",""สบก!Z26"")"),363649.3)</f>
        <v>363649.3</v>
      </c>
      <c r="N57" s="50">
        <f ca="1">IFERROR(__xludf.DUMMYFUNCTION("IMPORTRANGE(""https://docs.google.com/spreadsheets/d/1Yj_ptqi66GCucihVvJfMjLAmec39IyEx_6qawtMGysU/edit?usp=sharing"",""สบก!AA26"")"),298480)</f>
        <v>298480</v>
      </c>
      <c r="O57" s="39">
        <f ca="1">IF(L57&gt;0,N57*100/L57,0)</f>
        <v>65.456140350877192</v>
      </c>
      <c r="P57" s="39">
        <f ca="1">IF(M57&gt;0,N57*100/M57,0)</f>
        <v>82.079080036727703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IFERROR(__xludf.DUMMYFUNCTION("IMPORTRANGE(""https://docs.google.com/spreadsheets/d/1Yj_ptqi66GCucihVvJfMjLAmec39IyEx_6qawtMGysU/edit?usp=sharing"",""สบก!V26"")"),456000)</f>
        <v>456000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IFERROR(__xludf.DUMMYFUNCTION("IMPORTRANGE(""https://docs.google.com/spreadsheets/d/1Yj_ptqi66GCucihVvJfMjLAmec39IyEx_6qawtMGysU/edit?usp=sharing"",""สบก!W26"")"),0)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IFERROR(__xludf.DUMMYFUNCTION("IMPORTRANGE(""https://docs.google.com/spreadsheets/d/1Yj_ptqi66GCucihVvJfMjLAmec39IyEx_6qawtMGysU/edit?usp=sharing"",""สบก!X26"")"),0)</f>
        <v>0</v>
      </c>
      <c r="M61" s="50"/>
      <c r="N61" s="50">
        <f ca="1">IFERROR(__xludf.DUMMYFUNCTION("IMPORTRANGE(""https://docs.google.com/spreadsheets/d/1Yj_ptqi66GCucihVvJfMjLAmec39IyEx_6qawtMGysU/edit?usp=sharing"",""สบก!AB26"")"),0)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IFERROR(__xludf.DUMMYFUNCTION("IMPORTRANGE(""https://docs.google.com/spreadsheets/d/11923uPwbBZFjjGgGUA6NLw09EwE0CqkOc4q9oUmW1yo/edit?usp=sharing"",""พะเยา!I9"")"),1)</f>
        <v>1</v>
      </c>
      <c r="J64" s="142">
        <f ca="1">IFERROR(__xludf.DUMMYFUNCTION("IMPORTRANGE(""https://docs.google.com/spreadsheets/d/11923uPwbBZFjjGgGUA6NLw09EwE0CqkOc4q9oUmW1yo/edit?usp=sharing"",""พะเยา!J9"")"),1)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IFERROR(__xludf.DUMMYFUNCTION("IMPORTRANGE(""https://docs.google.com/spreadsheets/d/11923uPwbBZFjjGgGUA6NLw09EwE0CqkOc4q9oUmW1yo/edit?usp=sharing"",""พะเยา!I10"")"),30)</f>
        <v>30</v>
      </c>
      <c r="J65" s="142">
        <f ca="1">IFERROR(__xludf.DUMMYFUNCTION("IMPORTRANGE(""https://docs.google.com/spreadsheets/d/11923uPwbBZFjjGgGUA6NLw09EwE0CqkOc4q9oUmW1yo/edit?usp=sharing"",""พะเยา!J10"")"),30)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382000</v>
      </c>
      <c r="M66" s="152">
        <f t="shared" ca="1" si="45"/>
        <v>338620</v>
      </c>
      <c r="N66" s="152">
        <f t="shared" ca="1" si="45"/>
        <v>145341.74</v>
      </c>
      <c r="O66" s="151">
        <f t="shared" ref="O66:O68" ca="1" si="46">IF(L66&gt;0,N66*100/L66,0)</f>
        <v>38.047575916230365</v>
      </c>
      <c r="P66" s="151">
        <f t="shared" ref="P66:P68" ca="1" si="47">IF(M66&gt;0,N66*100/M66,0)</f>
        <v>42.921782529088652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382000</v>
      </c>
      <c r="M68" s="88">
        <f t="shared" ca="1" si="49"/>
        <v>338620</v>
      </c>
      <c r="N68" s="88">
        <f t="shared" ca="1" si="49"/>
        <v>145341.74</v>
      </c>
      <c r="O68" s="156">
        <f t="shared" ca="1" si="46"/>
        <v>38.047575916230365</v>
      </c>
      <c r="P68" s="156">
        <f t="shared" ca="1" si="47"/>
        <v>42.921782529088652</v>
      </c>
    </row>
    <row r="69" spans="1:16" ht="21.75" customHeight="1" x14ac:dyDescent="0.45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382000</v>
      </c>
      <c r="M70" s="167">
        <f ca="1">IFERROR(__xludf.DUMMYFUNCTION("IMPORTRANGE(""https://docs.google.com/spreadsheets/d/1Yj_ptqi66GCucihVvJfMjLAmec39IyEx_6qawtMGysU/edit?usp=sharing"",""สบก!AI26"")"),338620)</f>
        <v>338620</v>
      </c>
      <c r="N70" s="168">
        <f ca="1">IFERROR(__xludf.DUMMYFUNCTION("IMPORTRANGE(""https://docs.google.com/spreadsheets/d/1Yj_ptqi66GCucihVvJfMjLAmec39IyEx_6qawtMGysU/edit?usp=sharing"",""สบก!AJ26"")"),145341.74)</f>
        <v>145341.74</v>
      </c>
      <c r="O70" s="168">
        <f ca="1">IF(L70&gt;0,N70*100/L70,0)</f>
        <v>38.047575916230365</v>
      </c>
      <c r="P70" s="168">
        <f ca="1">IF(M70&gt;0,N70*100/M70,0)</f>
        <v>42.921782529088652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IFERROR(__xludf.DUMMYFUNCTION("IMPORTRANGE(""https://docs.google.com/spreadsheets/d/1Yj_ptqi66GCucihVvJfMjLAmec39IyEx_6qawtMGysU/edit?usp=sharing"",""สบก!AE26"")"),0)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IFERROR(__xludf.DUMMYFUNCTION("IMPORTRANGE(""https://docs.google.com/spreadsheets/d/1Yj_ptqi66GCucihVvJfMjLAmec39IyEx_6qawtMGysU/edit?usp=sharing"",""สบก!AF26"")"),382000)</f>
        <v>382000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IFERROR(__xludf.DUMMYFUNCTION("IMPORTRANGE(""https://docs.google.com/spreadsheets/d/1Yj_ptqi66GCucihVvJfMjLAmec39IyEx_6qawtMGysU/edit?usp=sharing"",""สบก!AG26"")"),0)</f>
        <v>0</v>
      </c>
      <c r="M74" s="50"/>
      <c r="N74" s="50">
        <f ca="1">IFERROR(__xludf.DUMMYFUNCTION("IMPORTRANGE(""https://docs.google.com/spreadsheets/d/1Yj_ptqi66GCucihVvJfMjLAmec39IyEx_6qawtMGysU/edit?usp=sharing"",""สบก!AK26"")"),0)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IFERROR(__xludf.DUMMYFUNCTION("IMPORTRANGE(""https://docs.google.com/spreadsheets/d/11923uPwbBZFjjGgGUA6NLw09EwE0CqkOc4q9oUmW1yo/edit?usp=sharing"",""พะเยา!J16"")"),0)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IFERROR(__xludf.DUMMYFUNCTION("IMPORTRANGE(""https://docs.google.com/spreadsheets/d/11923uPwbBZFjjGgGUA6NLw09EwE0CqkOc4q9oUmW1yo/edit?usp=sharing"",""พะเยา!J17"")"),1)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IFERROR(__xludf.DUMMYFUNCTION("IMPORTRANGE(""https://docs.google.com/spreadsheets/d/11923uPwbBZFjjGgGUA6NLw09EwE0CqkOc4q9oUmW1yo/edit?usp=sharing"",""พะเยา!J18"")"),1)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IFERROR(__xludf.DUMMYFUNCTION("IMPORTRANGE(""https://docs.google.com/spreadsheets/d/11923uPwbBZFjjGgGUA6NLw09EwE0CqkOc4q9oUmW1yo/edit?usp=sharing"",""พะเยา!J19"")"),1)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IFERROR(__xludf.DUMMYFUNCTION("IMPORTRANGE(""https://docs.google.com/spreadsheets/d/11923uPwbBZFjjGgGUA6NLw09EwE0CqkOc4q9oUmW1yo/edit?usp=sharing"",""พะเยา!I20"")"),1)</f>
        <v>1</v>
      </c>
      <c r="J80" s="200">
        <f ca="1">IFERROR(__xludf.DUMMYFUNCTION("IMPORTRANGE(""https://docs.google.com/spreadsheets/d/11923uPwbBZFjjGgGUA6NLw09EwE0CqkOc4q9oUmW1yo/edit?usp=sharing"",""พะเยา!J20"")"),1)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IFERROR(__xludf.DUMMYFUNCTION("IMPORTRANGE(""https://docs.google.com/spreadsheets/d/11923uPwbBZFjjGgGUA6NLw09EwE0CqkOc4q9oUmW1yo/edit?usp=sharing"",""พะเยา!I21"")"),30)</f>
        <v>30</v>
      </c>
      <c r="J81" s="200">
        <f ca="1">IFERROR(__xludf.DUMMYFUNCTION("IMPORTRANGE(""https://docs.google.com/spreadsheets/d/11923uPwbBZFjjGgGUA6NLw09EwE0CqkOc4q9oUmW1yo/edit?usp=sharing"",""พะเยา!J21"")"),30)</f>
        <v>30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IFERROR(__xludf.DUMMYFUNCTION("IMPORTRANGE(""https://docs.google.com/spreadsheets/d/11923uPwbBZFjjGgGUA6NLw09EwE0CqkOc4q9oUmW1yo/edit?usp=sharing"",""พะเยา!I22"")"),1)</f>
        <v>1</v>
      </c>
      <c r="J82" s="203">
        <f ca="1">IFERROR(__xludf.DUMMYFUNCTION("IMPORTRANGE(""https://docs.google.com/spreadsheets/d/11923uPwbBZFjjGgGUA6NLw09EwE0CqkOc4q9oUmW1yo/edit?usp=sharing"",""พะเยา!J22"")"),1)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IFERROR(__xludf.DUMMYFUNCTION("IMPORTRANGE(""https://docs.google.com/spreadsheets/d/11923uPwbBZFjjGgGUA6NLw09EwE0CqkOc4q9oUmW1yo/edit?usp=sharing"",""พะเยา!I23"")"),30)</f>
        <v>30</v>
      </c>
      <c r="J83" s="203">
        <f ca="1">IFERROR(__xludf.DUMMYFUNCTION("IMPORTRANGE(""https://docs.google.com/spreadsheets/d/11923uPwbBZFjjGgGUA6NLw09EwE0CqkOc4q9oUmW1yo/edit?usp=sharing"",""พะเยา!J23"")"),30)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IFERROR(__xludf.DUMMYFUNCTION("IMPORTRANGE(""https://docs.google.com/spreadsheets/d/11923uPwbBZFjjGgGUA6NLw09EwE0CqkOc4q9oUmW1yo/edit?usp=sharing"",""พะเยา!I24"")"),0)</f>
        <v>0</v>
      </c>
      <c r="J84" s="188">
        <f ca="1">IFERROR(__xludf.DUMMYFUNCTION("IMPORTRANGE(""https://docs.google.com/spreadsheets/d/11923uPwbBZFjjGgGUA6NLw09EwE0CqkOc4q9oUmW1yo/edit?usp=sharing"",""พะเยา!J24"")"),0)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IFERROR(__xludf.DUMMYFUNCTION("IMPORTRANGE(""https://docs.google.com/spreadsheets/d/11923uPwbBZFjjGgGUA6NLw09EwE0CqkOc4q9oUmW1yo/edit?usp=sharing"",""พะเยา!I25"")"),0)</f>
        <v>0</v>
      </c>
      <c r="J85" s="188">
        <f ca="1">IFERROR(__xludf.DUMMYFUNCTION("IMPORTRANGE(""https://docs.google.com/spreadsheets/d/11923uPwbBZFjjGgGUA6NLw09EwE0CqkOc4q9oUmW1yo/edit?usp=sharing"",""พะเยา!J25"")"),0)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IFERROR(__xludf.DUMMYFUNCTION("IMPORTRANGE(""https://docs.google.com/spreadsheets/d/11923uPwbBZFjjGgGUA6NLw09EwE0CqkOc4q9oUmW1yo/edit?usp=sharing"",""พะเยา!I26"")"),0)</f>
        <v>0</v>
      </c>
      <c r="J86" s="203">
        <f ca="1">IFERROR(__xludf.DUMMYFUNCTION("IMPORTRANGE(""https://docs.google.com/spreadsheets/d/11923uPwbBZFjjGgGUA6NLw09EwE0CqkOc4q9oUmW1yo/edit?usp=sharing"",""พะเยา!J26"")"),0)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IFERROR(__xludf.DUMMYFUNCTION("IMPORTRANGE(""https://docs.google.com/spreadsheets/d/11923uPwbBZFjjGgGUA6NLw09EwE0CqkOc4q9oUmW1yo/edit?usp=sharing"",""พะเยา!I27"")"),0)</f>
        <v>0</v>
      </c>
      <c r="J87" s="203">
        <f ca="1">IFERROR(__xludf.DUMMYFUNCTION("IMPORTRANGE(""https://docs.google.com/spreadsheets/d/11923uPwbBZFjjGgGUA6NLw09EwE0CqkOc4q9oUmW1yo/edit?usp=sharing"",""พะเยา!J27"")"),0)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IFERROR(__xludf.DUMMYFUNCTION("IMPORTRANGE(""https://docs.google.com/spreadsheets/d/11923uPwbBZFjjGgGUA6NLw09EwE0CqkOc4q9oUmW1yo/edit?usp=sharing"",""พะเยา!I28"")"),1)</f>
        <v>1</v>
      </c>
      <c r="J88" s="203">
        <f ca="1">IFERROR(__xludf.DUMMYFUNCTION("IMPORTRANGE(""https://docs.google.com/spreadsheets/d/11923uPwbBZFjjGgGUA6NLw09EwE0CqkOc4q9oUmW1yo/edit?usp=sharing"",""พะเยา!J28"")"),0)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IFERROR(__xludf.DUMMYFUNCTION("IMPORTRANGE(""https://docs.google.com/spreadsheets/d/11923uPwbBZFjjGgGUA6NLw09EwE0CqkOc4q9oUmW1yo/edit?usp=sharing"",""พะเยา!J29"")"),0)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IFERROR(__xludf.DUMMYFUNCTION("IMPORTRANGE(""https://docs.google.com/spreadsheets/d/11923uPwbBZFjjGgGUA6NLw09EwE0CqkOc4q9oUmW1yo/edit?usp=sharing"",""พะเยา!J30"")"),0)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IFERROR(__xludf.DUMMYFUNCTION("IMPORTRANGE(""https://docs.google.com/spreadsheets/d/11923uPwbBZFjjGgGUA6NLw09EwE0CqkOc4q9oUmW1yo/edit?usp=sharing"",""พะเยา!I32"")"),7)</f>
        <v>7</v>
      </c>
      <c r="J92" s="142">
        <f ca="1">IFERROR(__xludf.DUMMYFUNCTION("IMPORTRANGE(""https://docs.google.com/spreadsheets/d/11923uPwbBZFjjGgGUA6NLw09EwE0CqkOc4q9oUmW1yo/edit?usp=sharing"",""พะเยา!J32"")"),7)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IFERROR(__xludf.DUMMYFUNCTION("IMPORTRANGE(""https://docs.google.com/spreadsheets/d/11923uPwbBZFjjGgGUA6NLw09EwE0CqkOc4q9oUmW1yo/edit?usp=sharing"",""พะเยา!I33"")"),2)</f>
        <v>2</v>
      </c>
      <c r="J93" s="142">
        <f ca="1">IFERROR(__xludf.DUMMYFUNCTION("IMPORTRANGE(""https://docs.google.com/spreadsheets/d/11923uPwbBZFjjGgGUA6NLw09EwE0CqkOc4q9oUmW1yo/edit?usp=sharing"",""พะเยา!J33"")"),2)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298915</v>
      </c>
      <c r="N94" s="152">
        <f t="shared" ca="1" si="52"/>
        <v>254715</v>
      </c>
      <c r="O94" s="151">
        <f t="shared" ref="O94:O96" ca="1" si="53">IF(L94&gt;0,N94*100/L94,0)</f>
        <v>79.857975921745677</v>
      </c>
      <c r="P94" s="151">
        <f t="shared" ref="P94:P96" ca="1" si="54">IF(M94&gt;0,N94*100/M94,0)</f>
        <v>85.213187695498718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298915</v>
      </c>
      <c r="N96" s="88">
        <f t="shared" ca="1" si="56"/>
        <v>254715</v>
      </c>
      <c r="O96" s="156">
        <f t="shared" ca="1" si="53"/>
        <v>79.857975921745677</v>
      </c>
      <c r="P96" s="156">
        <f t="shared" ca="1" si="54"/>
        <v>85.213187695498718</v>
      </c>
    </row>
    <row r="97" spans="1:16" ht="21.75" customHeight="1" x14ac:dyDescent="0.45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IFERROR(__xludf.DUMMYFUNCTION("IMPORTRANGE(""https://docs.google.com/spreadsheets/d/1Yj_ptqi66GCucihVvJfMjLAmec39IyEx_6qawtMGysU/edit?usp=sharing"",""สบก!AR26"")"),114115)</f>
        <v>114115</v>
      </c>
      <c r="N98" s="168">
        <f ca="1">IFERROR(__xludf.DUMMYFUNCTION("IMPORTRANGE(""https://docs.google.com/spreadsheets/d/1Yj_ptqi66GCucihVvJfMjLAmec39IyEx_6qawtMGysU/edit?usp=sharing"",""สบก!AS26"")"),69915)</f>
        <v>69915</v>
      </c>
      <c r="O98" s="168">
        <f ca="1">IF(L98&gt;0,N98*100/L98,0)</f>
        <v>52.113148479427551</v>
      </c>
      <c r="P98" s="168">
        <f ca="1">IF(M98&gt;0,N98*100/M98,0)</f>
        <v>61.267142794549358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IFERROR(__xludf.DUMMYFUNCTION("IMPORTRANGE(""https://docs.google.com/spreadsheets/d/1Yj_ptqi66GCucihVvJfMjLAmec39IyEx_6qawtMGysU/edit?usp=sharing"",""สบก!AN26"")"),0)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IFERROR(__xludf.DUMMYFUNCTION("IMPORTRANGE(""https://docs.google.com/spreadsheets/d/1Yj_ptqi66GCucihVvJfMjLAmec39IyEx_6qawtMGysU/edit?usp=sharing"",""สบก!AO26"")"),134160)</f>
        <v>134160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IFERROR(__xludf.DUMMYFUNCTION("IMPORTRANGE(""https://docs.google.com/spreadsheets/d/1Yj_ptqi66GCucihVvJfMjLAmec39IyEx_6qawtMGysU/edit?usp=sharing"",""สบก!AP26"")"),184800)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IFERROR(__xludf.DUMMYFUNCTION("IMPORTRANGE(""https://docs.google.com/spreadsheets/d/1Yj_ptqi66GCucihVvJfMjLAmec39IyEx_6qawtMGysU/edit?usp=sharing"",""สบก!AT26"")"),184800)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IFERROR(__xludf.DUMMYFUNCTION("IMPORTRANGE(""https://docs.google.com/spreadsheets/d/11923uPwbBZFjjGgGUA6NLw09EwE0CqkOc4q9oUmW1yo/edit?usp=sharing"",""พะเยา!J39"")"),0)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IFERROR(__xludf.DUMMYFUNCTION("IMPORTRANGE(""https://docs.google.com/spreadsheets/d/11923uPwbBZFjjGgGUA6NLw09EwE0CqkOc4q9oUmW1yo/edit?usp=sharing"",""พะเยา!J40"")"),1)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IFERROR(__xludf.DUMMYFUNCTION("IMPORTRANGE(""https://docs.google.com/spreadsheets/d/11923uPwbBZFjjGgGUA6NLw09EwE0CqkOc4q9oUmW1yo/edit?usp=sharing"",""พะเยา!J41"")"),1)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IFERROR(__xludf.DUMMYFUNCTION("IMPORTRANGE(""https://docs.google.com/spreadsheets/d/11923uPwbBZFjjGgGUA6NLw09EwE0CqkOc4q9oUmW1yo/edit?usp=sharing"",""พะเยา!J42"")"),1)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IFERROR(__xludf.DUMMYFUNCTION("IMPORTRANGE(""https://docs.google.com/spreadsheets/d/11923uPwbBZFjjGgGUA6NLw09EwE0CqkOc4q9oUmW1yo/edit?usp=sharing"",""พะเยา!I43"")"),1)</f>
        <v>1</v>
      </c>
      <c r="J108" s="203">
        <f ca="1">IFERROR(__xludf.DUMMYFUNCTION("IMPORTRANGE(""https://docs.google.com/spreadsheets/d/11923uPwbBZFjjGgGUA6NLw09EwE0CqkOc4q9oUmW1yo/edit?usp=sharing"",""พะเยา!J43"")"),1)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IFERROR(__xludf.DUMMYFUNCTION("IMPORTRANGE(""https://docs.google.com/spreadsheets/d/11923uPwbBZFjjGgGUA6NLw09EwE0CqkOc4q9oUmW1yo/edit?usp=sharing"",""พะเยา!I44"")"),7)</f>
        <v>7</v>
      </c>
      <c r="J109" s="203">
        <f ca="1">IFERROR(__xludf.DUMMYFUNCTION("IMPORTRANGE(""https://docs.google.com/spreadsheets/d/11923uPwbBZFjjGgGUA6NLw09EwE0CqkOc4q9oUmW1yo/edit?usp=sharing"",""พะเยา!J44"")"),7)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IFERROR(__xludf.DUMMYFUNCTION("IMPORTRANGE(""https://docs.google.com/spreadsheets/d/11923uPwbBZFjjGgGUA6NLw09EwE0CqkOc4q9oUmW1yo/edit?usp=sharing"",""พะเยา!I45"")"),7)</f>
        <v>7</v>
      </c>
      <c r="J110" s="203">
        <f ca="1">IFERROR(__xludf.DUMMYFUNCTION("IMPORTRANGE(""https://docs.google.com/spreadsheets/d/11923uPwbBZFjjGgGUA6NLw09EwE0CqkOc4q9oUmW1yo/edit?usp=sharing"",""พะเยา!J45"")"),7)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IFERROR(__xludf.DUMMYFUNCTION("IMPORTRANGE(""https://docs.google.com/spreadsheets/d/11923uPwbBZFjjGgGUA6NLw09EwE0CqkOc4q9oUmW1yo/edit?usp=sharing"",""พะเยา!I46"")"),7)</f>
        <v>7</v>
      </c>
      <c r="J111" s="203">
        <f ca="1">IFERROR(__xludf.DUMMYFUNCTION("IMPORTRANGE(""https://docs.google.com/spreadsheets/d/11923uPwbBZFjjGgGUA6NLw09EwE0CqkOc4q9oUmW1yo/edit?usp=sharing"",""พะเยา!J46"")"),7)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IFERROR(__xludf.DUMMYFUNCTION("IMPORTRANGE(""https://docs.google.com/spreadsheets/d/11923uPwbBZFjjGgGUA6NLw09EwE0CqkOc4q9oUmW1yo/edit?usp=sharing"",""พะเยา!I47"")"),7)</f>
        <v>7</v>
      </c>
      <c r="J112" s="203">
        <f ca="1">IFERROR(__xludf.DUMMYFUNCTION("IMPORTRANGE(""https://docs.google.com/spreadsheets/d/11923uPwbBZFjjGgGUA6NLw09EwE0CqkOc4q9oUmW1yo/edit?usp=sharing"",""พะเยา!J47"")"),7)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IFERROR(__xludf.DUMMYFUNCTION("IMPORTRANGE(""https://docs.google.com/spreadsheets/d/11923uPwbBZFjjGgGUA6NLw09EwE0CqkOc4q9oUmW1yo/edit?usp=sharing"",""พะเยา!I48"")"),2)</f>
        <v>2</v>
      </c>
      <c r="J113" s="203">
        <f ca="1">IFERROR(__xludf.DUMMYFUNCTION("IMPORTRANGE(""https://docs.google.com/spreadsheets/d/11923uPwbBZFjjGgGUA6NLw09EwE0CqkOc4q9oUmW1yo/edit?usp=sharing"",""พะเยา!J48"")"),2)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IFERROR(__xludf.DUMMYFUNCTION("IMPORTRANGE(""https://docs.google.com/spreadsheets/d/11923uPwbBZFjjGgGUA6NLw09EwE0CqkOc4q9oUmW1yo/edit?usp=sharing"",""พะเยา!J49"")"),0)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IFERROR(__xludf.DUMMYFUNCTION("IMPORTRANGE(""https://docs.google.com/spreadsheets/d/11923uPwbBZFjjGgGUA6NLw09EwE0CqkOc4q9oUmW1yo/edit?usp=sharing"",""พะเยา!J50"")"),0)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IFERROR(__xludf.DUMMYFUNCTION("IMPORTRANGE(""https://docs.google.com/spreadsheets/d/11923uPwbBZFjjGgGUA6NLw09EwE0CqkOc4q9oUmW1yo/edit?usp=sharing"",""พะเยา!I52"")"),20)</f>
        <v>20</v>
      </c>
      <c r="J117" s="142">
        <f ca="1">IFERROR(__xludf.DUMMYFUNCTION("IMPORTRANGE(""https://docs.google.com/spreadsheets/d/11923uPwbBZFjjGgGUA6NLw09EwE0CqkOc4q9oUmW1yo/edit?usp=sharing"",""พะเยา!J52"")"),20)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67121</v>
      </c>
      <c r="O118" s="151">
        <f t="shared" ref="O118:O120" ca="1" si="59">IF(L118&gt;0,N118*100/L118,0)</f>
        <v>81.418000970402716</v>
      </c>
      <c r="P118" s="151">
        <f t="shared" ref="P118:P120" ca="1" si="60">IF(M118&gt;0,N118*100/M118,0)</f>
        <v>81.418000970402716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67121</v>
      </c>
      <c r="O120" s="156">
        <f t="shared" ca="1" si="59"/>
        <v>81.418000970402716</v>
      </c>
      <c r="P120" s="156">
        <f t="shared" ca="1" si="60"/>
        <v>81.418000970402716</v>
      </c>
    </row>
    <row r="121" spans="1:16" ht="21.75" customHeight="1" x14ac:dyDescent="0.45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IFERROR(__xludf.DUMMYFUNCTION("IMPORTRANGE(""https://docs.google.com/spreadsheets/d/1Yj_ptqi66GCucihVvJfMjLAmec39IyEx_6qawtMGysU/edit?usp=sharing"",""สบก!BA26"")"),82440)</f>
        <v>82440</v>
      </c>
      <c r="N122" s="168">
        <f ca="1">IFERROR(__xludf.DUMMYFUNCTION("IMPORTRANGE(""https://docs.google.com/spreadsheets/d/1Yj_ptqi66GCucihVvJfMjLAmec39IyEx_6qawtMGysU/edit?usp=sharing"",""สบก!BB26"")"),67121)</f>
        <v>67121</v>
      </c>
      <c r="O122" s="168">
        <f ca="1">IF(L122&gt;0,N122*100/L122,0)</f>
        <v>81.418000970402716</v>
      </c>
      <c r="P122" s="168">
        <f ca="1">IF(M122&gt;0,N122*100/M122,0)</f>
        <v>81.418000970402716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IFERROR(__xludf.DUMMYFUNCTION("IMPORTRANGE(""https://docs.google.com/spreadsheets/d/1Yj_ptqi66GCucihVvJfMjLAmec39IyEx_6qawtMGysU/edit?usp=sharing"",""สบก!AW26"")"),0)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IFERROR(__xludf.DUMMYFUNCTION("IMPORTRANGE(""https://docs.google.com/spreadsheets/d/1Yj_ptqi66GCucihVvJfMjLAmec39IyEx_6qawtMGysU/edit?usp=sharing"",""สบก!AX26"")"),82440)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IFERROR(__xludf.DUMMYFUNCTION("IMPORTRANGE(""https://docs.google.com/spreadsheets/d/1Yj_ptqi66GCucihVvJfMjLAmec39IyEx_6qawtMGysU/edit?usp=sharing"",""สบก!AY26"")"),0)</f>
        <v>0</v>
      </c>
      <c r="M126" s="50"/>
      <c r="N126" s="50">
        <f ca="1">IFERROR(__xludf.DUMMYFUNCTION("IMPORTRANGE(""https://docs.google.com/spreadsheets/d/1Yj_ptqi66GCucihVvJfMjLAmec39IyEx_6qawtMGysU/edit?usp=sharing"",""สบก!BC26"")"),0)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273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IFERROR(__xludf.DUMMYFUNCTION("IMPORTRANGE(""https://docs.google.com/spreadsheets/d/11923uPwbBZFjjGgGUA6NLw09EwE0CqkOc4q9oUmW1yo/edit?usp=sharing"",""พะเยา!J58"")"),0)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IFERROR(__xludf.DUMMYFUNCTION("IMPORTRANGE(""https://docs.google.com/spreadsheets/d/11923uPwbBZFjjGgGUA6NLw09EwE0CqkOc4q9oUmW1yo/edit?usp=sharing"",""พะเยา!J59"")"),1)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IFERROR(__xludf.DUMMYFUNCTION("IMPORTRANGE(""https://docs.google.com/spreadsheets/d/11923uPwbBZFjjGgGUA6NLw09EwE0CqkOc4q9oUmW1yo/edit?usp=sharing"",""พะเยา!J60"")"),1)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IFERROR(__xludf.DUMMYFUNCTION("IMPORTRANGE(""https://docs.google.com/spreadsheets/d/11923uPwbBZFjjGgGUA6NLw09EwE0CqkOc4q9oUmW1yo/edit?usp=sharing"",""พะเยา!J61"")"),1)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IFERROR(__xludf.DUMMYFUNCTION("IMPORTRANGE(""https://docs.google.com/spreadsheets/d/11923uPwbBZFjjGgGUA6NLw09EwE0CqkOc4q9oUmW1yo/edit?usp=sharing"",""พะเยา!I62"")"),20)</f>
        <v>20</v>
      </c>
      <c r="J132" s="203">
        <f ca="1">IFERROR(__xludf.DUMMYFUNCTION("IMPORTRANGE(""https://docs.google.com/spreadsheets/d/11923uPwbBZFjjGgGUA6NLw09EwE0CqkOc4q9oUmW1yo/edit?usp=sharing"",""พะเยา!J62"")"),20)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IFERROR(__xludf.DUMMYFUNCTION("IMPORTRANGE(""https://docs.google.com/spreadsheets/d/11923uPwbBZFjjGgGUA6NLw09EwE0CqkOc4q9oUmW1yo/edit?usp=sharing"",""พะเยา!I63"")"),20)</f>
        <v>20</v>
      </c>
      <c r="J133" s="203">
        <f ca="1">IFERROR(__xludf.DUMMYFUNCTION("IMPORTRANGE(""https://docs.google.com/spreadsheets/d/11923uPwbBZFjjGgGUA6NLw09EwE0CqkOc4q9oUmW1yo/edit?usp=sharing"",""พะเยา!J63"")"),20)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IFERROR(__xludf.DUMMYFUNCTION("IMPORTRANGE(""https://docs.google.com/spreadsheets/d/11923uPwbBZFjjGgGUA6NLw09EwE0CqkOc4q9oUmW1yo/edit?usp=sharing"",""พะเยา!J64"")"),0)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IFERROR(__xludf.DUMMYFUNCTION("IMPORTRANGE(""https://docs.google.com/spreadsheets/d/11923uPwbBZFjjGgGUA6NLw09EwE0CqkOc4q9oUmW1yo/edit?usp=sharing"",""พะเยา!J65"")"),0)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IFERROR(__xludf.DUMMYFUNCTION("IMPORTRANGE(""https://docs.google.com/spreadsheets/d/11923uPwbBZFjjGgGUA6NLw09EwE0CqkOc4q9oUmW1yo/edit?usp=sharing"",""พะเยา!I68"")"),55)</f>
        <v>55</v>
      </c>
      <c r="J138" s="267">
        <f ca="1">IFERROR(__xludf.DUMMYFUNCTION("IMPORTRANGE(""https://docs.google.com/spreadsheets/d/11923uPwbBZFjjGgGUA6NLw09EwE0CqkOc4q9oUmW1yo/edit?usp=sharing"",""พะเยา!J68"")"),55)</f>
        <v>55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828600</v>
      </c>
      <c r="M140" s="152">
        <f t="shared" ca="1" si="64"/>
        <v>713325</v>
      </c>
      <c r="N140" s="152">
        <f t="shared" ca="1" si="64"/>
        <v>614525</v>
      </c>
      <c r="O140" s="151">
        <f t="shared" ref="O140:O142" ca="1" si="65">IF(L140&gt;0,N140*100/L140,0)</f>
        <v>74.164252956794599</v>
      </c>
      <c r="P140" s="151">
        <f t="shared" ref="P140:P142" ca="1" si="66">IF(M140&gt;0,N140*100/M140,0)</f>
        <v>86.149370903865702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828600</v>
      </c>
      <c r="M142" s="88">
        <f t="shared" ca="1" si="68"/>
        <v>713325</v>
      </c>
      <c r="N142" s="88">
        <f t="shared" ca="1" si="68"/>
        <v>614525</v>
      </c>
      <c r="O142" s="156">
        <f t="shared" ca="1" si="65"/>
        <v>74.164252956794599</v>
      </c>
      <c r="P142" s="156">
        <f t="shared" ca="1" si="66"/>
        <v>86.149370903865702</v>
      </c>
    </row>
    <row r="143" spans="1:16" ht="21.75" customHeight="1" x14ac:dyDescent="0.45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828600</v>
      </c>
      <c r="M144" s="167">
        <f ca="1">IFERROR(__xludf.DUMMYFUNCTION("IMPORTRANGE(""https://docs.google.com/spreadsheets/d/1Yj_ptqi66GCucihVvJfMjLAmec39IyEx_6qawtMGysU/edit?usp=sharing"",""สบก!BJ26"")"),713325)</f>
        <v>713325</v>
      </c>
      <c r="N144" s="168">
        <f ca="1">IFERROR(__xludf.DUMMYFUNCTION("IMPORTRANGE(""https://docs.google.com/spreadsheets/d/1Yj_ptqi66GCucihVvJfMjLAmec39IyEx_6qawtMGysU/edit?usp=sharing"",""สบก!BK26"")"),614525)</f>
        <v>614525</v>
      </c>
      <c r="O144" s="168">
        <f ca="1">IF(L144&gt;0,N144*100/L144,0)</f>
        <v>74.164252956794599</v>
      </c>
      <c r="P144" s="168">
        <f ca="1">IF(M144&gt;0,N144*100/M144,0)</f>
        <v>86.149370903865702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IFERROR(__xludf.DUMMYFUNCTION("IMPORTRANGE(""https://docs.google.com/spreadsheets/d/1Yj_ptqi66GCucihVvJfMjLAmec39IyEx_6qawtMGysU/edit?usp=sharing"",""สบก!BF26"")"),462100)</f>
        <v>462100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IFERROR(__xludf.DUMMYFUNCTION("IMPORTRANGE(""https://docs.google.com/spreadsheets/d/1Yj_ptqi66GCucihVvJfMjLAmec39IyEx_6qawtMGysU/edit?usp=sharing"",""สบก!BG26"")"),366500)</f>
        <v>366500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IFERROR(__xludf.DUMMYFUNCTION("IMPORTRANGE(""https://docs.google.com/spreadsheets/d/1Yj_ptqi66GCucihVvJfMjLAmec39IyEx_6qawtMGysU/edit?usp=sharing"",""สบก!BH26"")"),0)</f>
        <v>0</v>
      </c>
      <c r="M148" s="50"/>
      <c r="N148" s="50">
        <f ca="1">IFERROR(__xludf.DUMMYFUNCTION("IMPORTRANGE(""https://docs.google.com/spreadsheets/d/1Yj_ptqi66GCucihVvJfMjLAmec39IyEx_6qawtMGysU/edit?usp=sharing"",""สบก!BL26"")"),0)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IFERROR(__xludf.DUMMYFUNCTION("IMPORTRANGE(""https://docs.google.com/spreadsheets/d/11923uPwbBZFjjGgGUA6NLw09EwE0CqkOc4q9oUmW1yo/edit?usp=sharing"",""พะเยา!I74"")"),4)</f>
        <v>4</v>
      </c>
      <c r="J149" s="275">
        <f ca="1">IFERROR(__xludf.DUMMYFUNCTION("IMPORTRANGE(""https://docs.google.com/spreadsheets/d/11923uPwbBZFjjGgGUA6NLw09EwE0CqkOc4q9oUmW1yo/edit?usp=sharing"",""พะเยา!J74"")"),3)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IFERROR(__xludf.DUMMYFUNCTION("IMPORTRANGE(""https://docs.google.com/spreadsheets/d/11923uPwbBZFjjGgGUA6NLw09EwE0CqkOc4q9oUmW1yo/edit?usp=sharing"",""พะเยา!J79"")"),0)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IFERROR(__xludf.DUMMYFUNCTION("IMPORTRANGE(""https://docs.google.com/spreadsheets/d/11923uPwbBZFjjGgGUA6NLw09EwE0CqkOc4q9oUmW1yo/edit?usp=sharing"",""พะเยา!J80"")"),1)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IFERROR(__xludf.DUMMYFUNCTION("IMPORTRANGE(""https://docs.google.com/spreadsheets/d/11923uPwbBZFjjGgGUA6NLw09EwE0CqkOc4q9oUmW1yo/edit?usp=sharing"",""พะเยา!J81"")"),1)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IFERROR(__xludf.DUMMYFUNCTION("IMPORTRANGE(""https://docs.google.com/spreadsheets/d/11923uPwbBZFjjGgGUA6NLw09EwE0CqkOc4q9oUmW1yo/edit?usp=sharing"",""พะเยา!J82"")"),1)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IFERROR(__xludf.DUMMYFUNCTION("IMPORTRANGE(""https://docs.google.com/spreadsheets/d/11923uPwbBZFjjGgGUA6NLw09EwE0CqkOc4q9oUmW1yo/edit?usp=sharing"",""พะเยา!I83"")"),4)</f>
        <v>4</v>
      </c>
      <c r="J158" s="188">
        <f ca="1">IFERROR(__xludf.DUMMYFUNCTION("IMPORTRANGE(""https://docs.google.com/spreadsheets/d/11923uPwbBZFjjGgGUA6NLw09EwE0CqkOc4q9oUmW1yo/edit?usp=sharing"",""พะเยา!J83"")"),3)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IFERROR(__xludf.DUMMYFUNCTION("IMPORTRANGE(""https://docs.google.com/spreadsheets/d/11923uPwbBZFjjGgGUA6NLw09EwE0CqkOc4q9oUmW1yo/edit?usp=sharing"",""พะเยา!J84"")"),170)</f>
        <v>170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IFERROR(__xludf.DUMMYFUNCTION("IMPORTRANGE(""https://docs.google.com/spreadsheets/d/11923uPwbBZFjjGgGUA6NLw09EwE0CqkOc4q9oUmW1yo/edit?usp=sharing"",""พะเยา!J85"")"),170)</f>
        <v>170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IFERROR(__xludf.DUMMYFUNCTION("IMPORTRANGE(""https://docs.google.com/spreadsheets/d/11923uPwbBZFjjGgGUA6NLw09EwE0CqkOc4q9oUmW1yo/edit?usp=sharing"",""พะเยา!J86"")"),0)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IFERROR(__xludf.DUMMYFUNCTION("IMPORTRANGE(""https://docs.google.com/spreadsheets/d/11923uPwbBZFjjGgGUA6NLw09EwE0CqkOc4q9oUmW1yo/edit?usp=sharing"",""พะเยา!J87"")"),0)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IFERROR(__xludf.DUMMYFUNCTION("IMPORTRANGE(""https://docs.google.com/spreadsheets/d/11923uPwbBZFjjGgGUA6NLw09EwE0CqkOc4q9oUmW1yo/edit?usp=sharing"",""พะเยา!J88"")"),0)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IFERROR(__xludf.DUMMYFUNCTION("IMPORTRANGE(""https://docs.google.com/spreadsheets/d/11923uPwbBZFjjGgGUA6NLw09EwE0CqkOc4q9oUmW1yo/edit?usp=sharing"",""พะเยา!I89"")"),2)</f>
        <v>2</v>
      </c>
      <c r="J164" s="284">
        <f ca="1">IFERROR(__xludf.DUMMYFUNCTION("IMPORTRANGE(""https://docs.google.com/spreadsheets/d/11923uPwbBZFjjGgGUA6NLw09EwE0CqkOc4q9oUmW1yo/edit?usp=sharing"",""พะเยา!J89"")"),2)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IFERROR(__xludf.DUMMYFUNCTION("IMPORTRANGE(""https://docs.google.com/spreadsheets/d/11923uPwbBZFjjGgGUA6NLw09EwE0CqkOc4q9oUmW1yo/edit?usp=sharing"",""พะเยา!J94"")"),0)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IFERROR(__xludf.DUMMYFUNCTION("IMPORTRANGE(""https://docs.google.com/spreadsheets/d/11923uPwbBZFjjGgGUA6NLw09EwE0CqkOc4q9oUmW1yo/edit?usp=sharing"",""พะเยา!J95"")"),1)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IFERROR(__xludf.DUMMYFUNCTION("IMPORTRANGE(""https://docs.google.com/spreadsheets/d/11923uPwbBZFjjGgGUA6NLw09EwE0CqkOc4q9oUmW1yo/edit?usp=sharing"",""พะเยา!J96"")"),1)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IFERROR(__xludf.DUMMYFUNCTION("IMPORTRANGE(""https://docs.google.com/spreadsheets/d/11923uPwbBZFjjGgGUA6NLw09EwE0CqkOc4q9oUmW1yo/edit?usp=sharing"",""พะเยา!J97"")"),1)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IFERROR(__xludf.DUMMYFUNCTION("IMPORTRANGE(""https://docs.google.com/spreadsheets/d/11923uPwbBZFjjGgGUA6NLw09EwE0CqkOc4q9oUmW1yo/edit?usp=sharing"",""พะเยา!I98"")"),2)</f>
        <v>2</v>
      </c>
      <c r="J173" s="188">
        <f ca="1">IFERROR(__xludf.DUMMYFUNCTION("IMPORTRANGE(""https://docs.google.com/spreadsheets/d/11923uPwbBZFjjGgGUA6NLw09EwE0CqkOc4q9oUmW1yo/edit?usp=sharing"",""พะเยา!J98"")"),2)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IFERROR(__xludf.DUMMYFUNCTION("IMPORTRANGE(""https://docs.google.com/spreadsheets/d/11923uPwbBZFjjGgGUA6NLw09EwE0CqkOc4q9oUmW1yo/edit?usp=sharing"",""พะเยา!J99"")"),0)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IFERROR(__xludf.DUMMYFUNCTION("IMPORTRANGE(""https://docs.google.com/spreadsheets/d/11923uPwbBZFjjGgGUA6NLw09EwE0CqkOc4q9oUmW1yo/edit?usp=sharing"",""พะเยา!J100"")"),0)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IFERROR(__xludf.DUMMYFUNCTION("IMPORTRANGE(""https://docs.google.com/spreadsheets/d/11923uPwbBZFjjGgGUA6NLw09EwE0CqkOc4q9oUmW1yo/edit?usp=sharing"",""พะเยา!I101"")"),0)</f>
        <v>0</v>
      </c>
      <c r="J176" s="284">
        <f ca="1">IFERROR(__xludf.DUMMYFUNCTION("IMPORTRANGE(""https://docs.google.com/spreadsheets/d/11923uPwbBZFjjGgGUA6NLw09EwE0CqkOc4q9oUmW1yo/edit?usp=sharing"",""พะเยา!J101"")"),0)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IFERROR(__xludf.DUMMYFUNCTION("IMPORTRANGE(""https://docs.google.com/spreadsheets/d/11923uPwbBZFjjGgGUA6NLw09EwE0CqkOc4q9oUmW1yo/edit?usp=sharing"",""พะเยา!J106"")"),0)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IFERROR(__xludf.DUMMYFUNCTION("IMPORTRANGE(""https://docs.google.com/spreadsheets/d/11923uPwbBZFjjGgGUA6NLw09EwE0CqkOc4q9oUmW1yo/edit?usp=sharing"",""พะเยา!J107"")"),0)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IFERROR(__xludf.DUMMYFUNCTION("IMPORTRANGE(""https://docs.google.com/spreadsheets/d/11923uPwbBZFjjGgGUA6NLw09EwE0CqkOc4q9oUmW1yo/edit?usp=sharing"",""พะเยา!J108"")"),0)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IFERROR(__xludf.DUMMYFUNCTION("IMPORTRANGE(""https://docs.google.com/spreadsheets/d/11923uPwbBZFjjGgGUA6NLw09EwE0CqkOc4q9oUmW1yo/edit?usp=sharing"",""พะเยา!J109"")"),0)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IFERROR(__xludf.DUMMYFUNCTION("IMPORTRANGE(""https://docs.google.com/spreadsheets/d/11923uPwbBZFjjGgGUA6NLw09EwE0CqkOc4q9oUmW1yo/edit?usp=sharing"",""พะเยา!I110"")"),0)</f>
        <v>0</v>
      </c>
      <c r="J185" s="203">
        <f ca="1">IFERROR(__xludf.DUMMYFUNCTION("IMPORTRANGE(""https://docs.google.com/spreadsheets/d/11923uPwbBZFjjGgGUA6NLw09EwE0CqkOc4q9oUmW1yo/edit?usp=sharing"",""พะเยา!J110"")"),0)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IFERROR(__xludf.DUMMYFUNCTION("IMPORTRANGE(""https://docs.google.com/spreadsheets/d/11923uPwbBZFjjGgGUA6NLw09EwE0CqkOc4q9oUmW1yo/edit?usp=sharing"",""พะเยา!I111"")"),0)</f>
        <v>0</v>
      </c>
      <c r="J186" s="203">
        <f ca="1">IFERROR(__xludf.DUMMYFUNCTION("IMPORTRANGE(""https://docs.google.com/spreadsheets/d/11923uPwbBZFjjGgGUA6NLw09EwE0CqkOc4q9oUmW1yo/edit?usp=sharing"",""พะเยา!J111"")"),0)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IFERROR(__xludf.DUMMYFUNCTION("IMPORTRANGE(""https://docs.google.com/spreadsheets/d/11923uPwbBZFjjGgGUA6NLw09EwE0CqkOc4q9oUmW1yo/edit?usp=sharing"",""พะเยา!J112"")"),0)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IFERROR(__xludf.DUMMYFUNCTION("IMPORTRANGE(""https://docs.google.com/spreadsheets/d/11923uPwbBZFjjGgGUA6NLw09EwE0CqkOc4q9oUmW1yo/edit?usp=sharing"",""พะเยา!J113"")"),0)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IFERROR(__xludf.DUMMYFUNCTION("IMPORTRANGE(""https://docs.google.com/spreadsheets/d/11923uPwbBZFjjGgGUA6NLw09EwE0CqkOc4q9oUmW1yo/edit?usp=sharing"",""พะเยา!I114"")"),20000)</f>
        <v>20000</v>
      </c>
      <c r="J189" s="284">
        <f ca="1">IFERROR(__xludf.DUMMYFUNCTION("IMPORTRANGE(""https://docs.google.com/spreadsheets/d/11923uPwbBZFjjGgGUA6NLw09EwE0CqkOc4q9oUmW1yo/edit?usp=sharing"",""พะเยา!J114"")"),0)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IFERROR(__xludf.DUMMYFUNCTION("IMPORTRANGE(""https://docs.google.com/spreadsheets/d/11923uPwbBZFjjGgGUA6NLw09EwE0CqkOc4q9oUmW1yo/edit?usp=sharing"",""พะเยา!J119"")"),0)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IFERROR(__xludf.DUMMYFUNCTION("IMPORTRANGE(""https://docs.google.com/spreadsheets/d/11923uPwbBZFjjGgGUA6NLw09EwE0CqkOc4q9oUmW1yo/edit?usp=sharing"",""พะเยา!J120"")"),1)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IFERROR(__xludf.DUMMYFUNCTION("IMPORTRANGE(""https://docs.google.com/spreadsheets/d/11923uPwbBZFjjGgGUA6NLw09EwE0CqkOc4q9oUmW1yo/edit?usp=sharing"",""พะเยา!J121"")"),1)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IFERROR(__xludf.DUMMYFUNCTION("IMPORTRANGE(""https://docs.google.com/spreadsheets/d/11923uPwbBZFjjGgGUA6NLw09EwE0CqkOc4q9oUmW1yo/edit?usp=sharing"",""พะเยา!J122"")"),1)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IFERROR(__xludf.DUMMYFUNCTION("IMPORTRANGE(""https://docs.google.com/spreadsheets/d/11923uPwbBZFjjGgGUA6NLw09EwE0CqkOc4q9oUmW1yo/edit?usp=sharing"",""พะเยา!I124"")"),20000)</f>
        <v>20000</v>
      </c>
      <c r="J199" s="188">
        <f ca="1">IFERROR(__xludf.DUMMYFUNCTION("IMPORTRANGE(""https://docs.google.com/spreadsheets/d/11923uPwbBZFjjGgGUA6NLw09EwE0CqkOc4q9oUmW1yo/edit?usp=sharing"",""พะเยา!J124"")"),20000)</f>
        <v>20000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IFERROR(__xludf.DUMMYFUNCTION("IMPORTRANGE(""https://docs.google.com/spreadsheets/d/11923uPwbBZFjjGgGUA6NLw09EwE0CqkOc4q9oUmW1yo/edit?usp=sharing"",""พะเยา!I125"")"),20000)</f>
        <v>20000</v>
      </c>
      <c r="J200" s="188">
        <f ca="1">IFERROR(__xludf.DUMMYFUNCTION("IMPORTRANGE(""https://docs.google.com/spreadsheets/d/11923uPwbBZFjjGgGUA6NLw09EwE0CqkOc4q9oUmW1yo/edit?usp=sharing"",""พะเยา!J125"")"),0)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IFERROR(__xludf.DUMMYFUNCTION("IMPORTRANGE(""https://docs.google.com/spreadsheets/d/11923uPwbBZFjjGgGUA6NLw09EwE0CqkOc4q9oUmW1yo/edit?usp=sharing"",""พะเยา!I126"")"),15)</f>
        <v>15</v>
      </c>
      <c r="J201" s="188">
        <f ca="1">IFERROR(__xludf.DUMMYFUNCTION("IMPORTRANGE(""https://docs.google.com/spreadsheets/d/11923uPwbBZFjjGgGUA6NLw09EwE0CqkOc4q9oUmW1yo/edit?usp=sharing"",""พะเยา!J126"")"),15)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IFERROR(__xludf.DUMMYFUNCTION("IMPORTRANGE(""https://docs.google.com/spreadsheets/d/11923uPwbBZFjjGgGUA6NLw09EwE0CqkOc4q9oUmW1yo/edit?usp=sharing"",""พะเยา!J127"")"),0)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IFERROR(__xludf.DUMMYFUNCTION("IMPORTRANGE(""https://docs.google.com/spreadsheets/d/11923uPwbBZFjjGgGUA6NLw09EwE0CqkOc4q9oUmW1yo/edit?usp=sharing"",""พะเยา!J128"")"),0)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IFERROR(__xludf.DUMMYFUNCTION("IMPORTRANGE(""https://docs.google.com/spreadsheets/d/11923uPwbBZFjjGgGUA6NLw09EwE0CqkOc4q9oUmW1yo/edit?usp=sharing"",""พะเยา!I129"")"),40)</f>
        <v>40</v>
      </c>
      <c r="J204" s="284">
        <f ca="1">IFERROR(__xludf.DUMMYFUNCTION("IMPORTRANGE(""https://docs.google.com/spreadsheets/d/11923uPwbBZFjjGgGUA6NLw09EwE0CqkOc4q9oUmW1yo/edit?usp=sharing"",""พะเยา!J129"")"),40)</f>
        <v>40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IFERROR(__xludf.DUMMYFUNCTION("IMPORTRANGE(""https://docs.google.com/spreadsheets/d/11923uPwbBZFjjGgGUA6NLw09EwE0CqkOc4q9oUmW1yo/edit?usp=sharing"",""พะเยา!J134"")"),0)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IFERROR(__xludf.DUMMYFUNCTION("IMPORTRANGE(""https://docs.google.com/spreadsheets/d/11923uPwbBZFjjGgGUA6NLw09EwE0CqkOc4q9oUmW1yo/edit?usp=sharing"",""พะเยา!J135"")"),1)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IFERROR(__xludf.DUMMYFUNCTION("IMPORTRANGE(""https://docs.google.com/spreadsheets/d/11923uPwbBZFjjGgGUA6NLw09EwE0CqkOc4q9oUmW1yo/edit?usp=sharing"",""พะเยา!J136"")"),1)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IFERROR(__xludf.DUMMYFUNCTION("IMPORTRANGE(""https://docs.google.com/spreadsheets/d/11923uPwbBZFjjGgGUA6NLw09EwE0CqkOc4q9oUmW1yo/edit?usp=sharing"",""พะเยา!J137"")"),1)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IFERROR(__xludf.DUMMYFUNCTION("IMPORTRANGE(""https://docs.google.com/spreadsheets/d/11923uPwbBZFjjGgGUA6NLw09EwE0CqkOc4q9oUmW1yo/edit?usp=sharing"",""พะเยา!I138"")"),40)</f>
        <v>40</v>
      </c>
      <c r="J213" s="203">
        <f ca="1">IFERROR(__xludf.DUMMYFUNCTION("IMPORTRANGE(""https://docs.google.com/spreadsheets/d/11923uPwbBZFjjGgGUA6NLw09EwE0CqkOc4q9oUmW1yo/edit?usp=sharing"",""พะเยา!J138"")"),40)</f>
        <v>40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IFERROR(__xludf.DUMMYFUNCTION("IMPORTRANGE(""https://docs.google.com/spreadsheets/d/11923uPwbBZFjjGgGUA6NLw09EwE0CqkOc4q9oUmW1yo/edit?usp=sharing"",""พะเยา!I140"")"),40)</f>
        <v>40</v>
      </c>
      <c r="J215" s="203">
        <f ca="1">IFERROR(__xludf.DUMMYFUNCTION("IMPORTRANGE(""https://docs.google.com/spreadsheets/d/11923uPwbBZFjjGgGUA6NLw09EwE0CqkOc4q9oUmW1yo/edit?usp=sharing"",""พะเยา!J140"")"),0)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IFERROR(__xludf.DUMMYFUNCTION("IMPORTRANGE(""https://docs.google.com/spreadsheets/d/11923uPwbBZFjjGgGUA6NLw09EwE0CqkOc4q9oUmW1yo/edit?usp=sharing"",""พะเยา!I141"")"),2)</f>
        <v>2</v>
      </c>
      <c r="J216" s="203">
        <f ca="1">IFERROR(__xludf.DUMMYFUNCTION("IMPORTRANGE(""https://docs.google.com/spreadsheets/d/11923uPwbBZFjjGgGUA6NLw09EwE0CqkOc4q9oUmW1yo/edit?usp=sharing"",""พะเยา!J141"")"),0)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IFERROR(__xludf.DUMMYFUNCTION("IMPORTRANGE(""https://docs.google.com/spreadsheets/d/11923uPwbBZFjjGgGUA6NLw09EwE0CqkOc4q9oUmW1yo/edit?usp=sharing"",""พะเยา!J142"")"),0)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IFERROR(__xludf.DUMMYFUNCTION("IMPORTRANGE(""https://docs.google.com/spreadsheets/d/11923uPwbBZFjjGgGUA6NLw09EwE0CqkOc4q9oUmW1yo/edit?usp=sharing"",""พะเยา!J143"")"),0)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IFERROR(__xludf.DUMMYFUNCTION("IMPORTRANGE(""https://docs.google.com/spreadsheets/d/11923uPwbBZFjjGgGUA6NLw09EwE0CqkOc4q9oUmW1yo/edit?usp=sharing"",""พะเยา!I144"")"),15)</f>
        <v>15</v>
      </c>
      <c r="J219" s="267">
        <f ca="1">IFERROR(__xludf.DUMMYFUNCTION("IMPORTRANGE(""https://docs.google.com/spreadsheets/d/11923uPwbBZFjjGgGUA6NLw09EwE0CqkOc4q9oUmW1yo/edit?usp=sharing"",""พะเยา!J144"")"),15)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IFERROR(__xludf.DUMMYFUNCTION("IMPORTRANGE(""https://docs.google.com/spreadsheets/d/1Yj_ptqi66GCucihVvJfMjLAmec39IyEx_6qawtMGysU/edit?usp=sharing"",""สบก!BS26"")"),21125)</f>
        <v>21125</v>
      </c>
      <c r="N224" s="168">
        <f ca="1">IFERROR(__xludf.DUMMYFUNCTION("IMPORTRANGE(""https://docs.google.com/spreadsheets/d/1Yj_ptqi66GCucihVvJfMjLAmec39IyEx_6qawtMGysU/edit?usp=sharing"",""สบก!BT26"")"),21125)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IFERROR(__xludf.DUMMYFUNCTION("IMPORTRANGE(""https://docs.google.com/spreadsheets/d/1Yj_ptqi66GCucihVvJfMjLAmec39IyEx_6qawtMGysU/edit?usp=sharing"",""สบก!BO26"")"),0)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IFERROR(__xludf.DUMMYFUNCTION("IMPORTRANGE(""https://docs.google.com/spreadsheets/d/1Yj_ptqi66GCucihVvJfMjLAmec39IyEx_6qawtMGysU/edit?usp=sharing"",""สบก!BP26"")"),21125)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IFERROR(__xludf.DUMMYFUNCTION("IMPORTRANGE(""https://docs.google.com/spreadsheets/d/1Yj_ptqi66GCucihVvJfMjLAmec39IyEx_6qawtMGysU/edit?usp=sharing"",""สบก!BQ26"")"),0)</f>
        <v>0</v>
      </c>
      <c r="M228" s="50"/>
      <c r="N228" s="50">
        <f ca="1">IFERROR(__xludf.DUMMYFUNCTION("IMPORTRANGE(""https://docs.google.com/spreadsheets/d/1Yj_ptqi66GCucihVvJfMjLAmec39IyEx_6qawtMGysU/edit?usp=sharing"",""สบก!BU26"")"),0)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IFERROR(__xludf.DUMMYFUNCTION("IMPORTRANGE(""https://docs.google.com/spreadsheets/d/11923uPwbBZFjjGgGUA6NLw09EwE0CqkOc4q9oUmW1yo/edit?usp=sharing"",""พะเยา!I149"")"),15)</f>
        <v>15</v>
      </c>
      <c r="J229" s="267">
        <f ca="1">IFERROR(__xludf.DUMMYFUNCTION("IMPORTRANGE(""https://docs.google.com/spreadsheets/d/11923uPwbBZFjjGgGUA6NLw09EwE0CqkOc4q9oUmW1yo/edit?usp=sharing"",""พะเยา!J149"")"),15)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IFERROR(__xludf.DUMMYFUNCTION("IMPORTRANGE(""https://docs.google.com/spreadsheets/d/11923uPwbBZFjjGgGUA6NLw09EwE0CqkOc4q9oUmW1yo/edit?usp=sharing"",""พะเยา!J151"")"),0)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IFERROR(__xludf.DUMMYFUNCTION("IMPORTRANGE(""https://docs.google.com/spreadsheets/d/11923uPwbBZFjjGgGUA6NLw09EwE0CqkOc4q9oUmW1yo/edit?usp=sharing"",""พะเยา!J152"")"),0)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IFERROR(__xludf.DUMMYFUNCTION("IMPORTRANGE(""https://docs.google.com/spreadsheets/d/11923uPwbBZFjjGgGUA6NLw09EwE0CqkOc4q9oUmW1yo/edit?usp=sharing"",""พะเยา!J153"")"),1)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IFERROR(__xludf.DUMMYFUNCTION("IMPORTRANGE(""https://docs.google.com/spreadsheets/d/11923uPwbBZFjjGgGUA6NLw09EwE0CqkOc4q9oUmW1yo/edit?usp=sharing"",""พะเยา!J154"")"),1)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IFERROR(__xludf.DUMMYFUNCTION("IMPORTRANGE(""https://docs.google.com/spreadsheets/d/11923uPwbBZFjjGgGUA6NLw09EwE0CqkOc4q9oUmW1yo/edit?usp=sharing"",""พะเยา!I155"")"),15)</f>
        <v>15</v>
      </c>
      <c r="J235" s="188">
        <f ca="1">IFERROR(__xludf.DUMMYFUNCTION("IMPORTRANGE(""https://docs.google.com/spreadsheets/d/11923uPwbBZFjjGgGUA6NLw09EwE0CqkOc4q9oUmW1yo/edit?usp=sharing"",""พะเยา!J155"")"),15)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IFERROR(__xludf.DUMMYFUNCTION("IMPORTRANGE(""https://docs.google.com/spreadsheets/d/11923uPwbBZFjjGgGUA6NLw09EwE0CqkOc4q9oUmW1yo/edit?usp=sharing"",""พะเยา!J156"")"),15)</f>
        <v>15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IFERROR(__xludf.DUMMYFUNCTION("IMPORTRANGE(""https://docs.google.com/spreadsheets/d/11923uPwbBZFjjGgGUA6NLw09EwE0CqkOc4q9oUmW1yo/edit?usp=sharing"",""พะเยา!J157"")"),1)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IFERROR(__xludf.DUMMYFUNCTION("IMPORTRANGE(""https://docs.google.com/spreadsheets/d/11923uPwbBZFjjGgGUA6NLw09EwE0CqkOc4q9oUmW1yo/edit?usp=sharing"",""พะเยา!I158"")"),0)</f>
        <v>0</v>
      </c>
      <c r="J238" s="267">
        <f ca="1">IFERROR(__xludf.DUMMYFUNCTION("IMPORTRANGE(""https://docs.google.com/spreadsheets/d/11923uPwbBZFjjGgGUA6NLw09EwE0CqkOc4q9oUmW1yo/edit?usp=sharing"",""พะเยา!J158"")"),0)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IFERROR(__xludf.DUMMYFUNCTION("IMPORTRANGE(""https://docs.google.com/spreadsheets/d/11923uPwbBZFjjGgGUA6NLw09EwE0CqkOc4q9oUmW1yo/edit?usp=sharing"",""พะเยา!J159"")"),"")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IFERROR(__xludf.DUMMYFUNCTION("IMPORTRANGE(""https://docs.google.com/spreadsheets/d/11923uPwbBZFjjGgGUA6NLw09EwE0CqkOc4q9oUmW1yo/edit?usp=sharing"",""พะเยา!J161"")"),0)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IFERROR(__xludf.DUMMYFUNCTION("IMPORTRANGE(""https://docs.google.com/spreadsheets/d/11923uPwbBZFjjGgGUA6NLw09EwE0CqkOc4q9oUmW1yo/edit?usp=sharing"",""พะเยา!J162"")"),0)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IFERROR(__xludf.DUMMYFUNCTION("IMPORTRANGE(""https://docs.google.com/spreadsheets/d/11923uPwbBZFjjGgGUA6NLw09EwE0CqkOc4q9oUmW1yo/edit?usp=sharing"",""พะเยา!J163"")"),0)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IFERROR(__xludf.DUMMYFUNCTION("IMPORTRANGE(""https://docs.google.com/spreadsheets/d/11923uPwbBZFjjGgGUA6NLw09EwE0CqkOc4q9oUmW1yo/edit?usp=sharing"",""พะเยา!I164"")"),0)</f>
        <v>0</v>
      </c>
      <c r="J244" s="187">
        <f ca="1">IFERROR(__xludf.DUMMYFUNCTION("IMPORTRANGE(""https://docs.google.com/spreadsheets/d/11923uPwbBZFjjGgGUA6NLw09EwE0CqkOc4q9oUmW1yo/edit?usp=sharing"",""พะเยา!J164"")"),0)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IFERROR(__xludf.DUMMYFUNCTION("IMPORTRANGE(""https://docs.google.com/spreadsheets/d/11923uPwbBZFjjGgGUA6NLw09EwE0CqkOc4q9oUmW1yo/edit?usp=sharing"",""พะเยา!J165"")"),0)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IFERROR(__xludf.DUMMYFUNCTION("IMPORTRANGE(""https://docs.google.com/spreadsheets/d/11923uPwbBZFjjGgGUA6NLw09EwE0CqkOc4q9oUmW1yo/edit?usp=sharing"",""พะเยา!J166"")"),0)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IFERROR(__xludf.DUMMYFUNCTION("IMPORTRANGE(""https://docs.google.com/spreadsheets/d/11923uPwbBZFjjGgGUA6NLw09EwE0CqkOc4q9oUmW1yo/edit?usp=sharing"",""พะเยา!I169"")"),20)</f>
        <v>20</v>
      </c>
      <c r="J249" s="316">
        <f ca="1">IFERROR(__xludf.DUMMYFUNCTION("IMPORTRANGE(""https://docs.google.com/spreadsheets/d/11923uPwbBZFjjGgGUA6NLw09EwE0CqkOc4q9oUmW1yo/edit?usp=sharing"",""พะเยา!J169"")"),20)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19799</v>
      </c>
      <c r="O250" s="151">
        <f t="shared" ref="O250:O252" ca="1" si="78">IF(L250&gt;0,N250*100/L250,0)</f>
        <v>27.729691876750699</v>
      </c>
      <c r="P250" s="151">
        <f t="shared" ref="P250:P252" ca="1" si="79">IF(M250&gt;0,N250*100/M250,0)</f>
        <v>47.140476190476193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42000</v>
      </c>
      <c r="N252" s="88">
        <f t="shared" ca="1" si="81"/>
        <v>19799</v>
      </c>
      <c r="O252" s="156">
        <f t="shared" ca="1" si="78"/>
        <v>27.729691876750699</v>
      </c>
      <c r="P252" s="156">
        <f t="shared" ca="1" si="79"/>
        <v>47.140476190476193</v>
      </c>
    </row>
    <row r="253" spans="1:16" ht="21.75" customHeight="1" x14ac:dyDescent="0.45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IFERROR(__xludf.DUMMYFUNCTION("IMPORTRANGE(""https://docs.google.com/spreadsheets/d/1Yj_ptqi66GCucihVvJfMjLAmec39IyEx_6qawtMGysU/edit?usp=sharing"",""สบก!CB26"")"),42000)</f>
        <v>42000</v>
      </c>
      <c r="N254" s="168">
        <f ca="1">IFERROR(__xludf.DUMMYFUNCTION("IMPORTRANGE(""https://docs.google.com/spreadsheets/d/1Yj_ptqi66GCucihVvJfMjLAmec39IyEx_6qawtMGysU/edit?usp=sharing"",""สบก!CC26"")"),19799)</f>
        <v>19799</v>
      </c>
      <c r="O254" s="168">
        <f ca="1">IF(L254&gt;0,N254*100/L254,0)</f>
        <v>27.729691876750699</v>
      </c>
      <c r="P254" s="168">
        <f ca="1">IF(M254&gt;0,N254*100/M254,0)</f>
        <v>47.140476190476193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IFERROR(__xludf.DUMMYFUNCTION("IMPORTRANGE(""https://docs.google.com/spreadsheets/d/1Yj_ptqi66GCucihVvJfMjLAmec39IyEx_6qawtMGysU/edit?usp=sharing"",""สบก!BX26"")"),0)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IFERROR(__xludf.DUMMYFUNCTION("IMPORTRANGE(""https://docs.google.com/spreadsheets/d/1Yj_ptqi66GCucihVvJfMjLAmec39IyEx_6qawtMGysU/edit?usp=sharing"",""สบก!BY26"")"),71400)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IFERROR(__xludf.DUMMYFUNCTION("IMPORTRANGE(""https://docs.google.com/spreadsheets/d/1Yj_ptqi66GCucihVvJfMjLAmec39IyEx_6qawtMGysU/edit?usp=sharing"",""สบก!BZ26"")"),0)</f>
        <v>0</v>
      </c>
      <c r="M258" s="50"/>
      <c r="N258" s="50">
        <f ca="1">IFERROR(__xludf.DUMMYFUNCTION("IMPORTRANGE(""https://docs.google.com/spreadsheets/d/1Yj_ptqi66GCucihVvJfMjLAmec39IyEx_6qawtMGysU/edit?usp=sharing"",""สบก!CD26"")"),0)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IFERROR(__xludf.DUMMYFUNCTION("IMPORTRANGE(""https://docs.google.com/spreadsheets/d/11923uPwbBZFjjGgGUA6NLw09EwE0CqkOc4q9oUmW1yo/edit?usp=sharing"",""พะเยา!J175"")"),0)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IFERROR(__xludf.DUMMYFUNCTION("IMPORTRANGE(""https://docs.google.com/spreadsheets/d/11923uPwbBZFjjGgGUA6NLw09EwE0CqkOc4q9oUmW1yo/edit?usp=sharing"",""พะเยา!J176"")"),1)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IFERROR(__xludf.DUMMYFUNCTION("IMPORTRANGE(""https://docs.google.com/spreadsheets/d/11923uPwbBZFjjGgGUA6NLw09EwE0CqkOc4q9oUmW1yo/edit?usp=sharing"",""พะเยา!J177"")"),1)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IFERROR(__xludf.DUMMYFUNCTION("IMPORTRANGE(""https://docs.google.com/spreadsheets/d/11923uPwbBZFjjGgGUA6NLw09EwE0CqkOc4q9oUmW1yo/edit?usp=sharing"",""พะเยา!J178"")"),1)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IFERROR(__xludf.DUMMYFUNCTION("IMPORTRANGE(""https://docs.google.com/spreadsheets/d/11923uPwbBZFjjGgGUA6NLw09EwE0CqkOc4q9oUmW1yo/edit?usp=sharing"",""พะเยา!I179"")"),1)</f>
        <v>1</v>
      </c>
      <c r="J264" s="188">
        <f ca="1">IFERROR(__xludf.DUMMYFUNCTION("IMPORTRANGE(""https://docs.google.com/spreadsheets/d/11923uPwbBZFjjGgGUA6NLw09EwE0CqkOc4q9oUmW1yo/edit?usp=sharing"",""พะเยา!J179"")"),1)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IFERROR(__xludf.DUMMYFUNCTION("IMPORTRANGE(""https://docs.google.com/spreadsheets/d/11923uPwbBZFjjGgGUA6NLw09EwE0CqkOc4q9oUmW1yo/edit?usp=sharing"",""พะเยา!I180"")"),20)</f>
        <v>20</v>
      </c>
      <c r="J265" s="188">
        <f ca="1">IFERROR(__xludf.DUMMYFUNCTION("IMPORTRANGE(""https://docs.google.com/spreadsheets/d/11923uPwbBZFjjGgGUA6NLw09EwE0CqkOc4q9oUmW1yo/edit?usp=sharing"",""พะเยา!J180"")"),20)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IFERROR(__xludf.DUMMYFUNCTION("IMPORTRANGE(""https://docs.google.com/spreadsheets/d/11923uPwbBZFjjGgGUA6NLw09EwE0CqkOc4q9oUmW1yo/edit?usp=sharing"",""พะเยา!I181"")"),20)</f>
        <v>20</v>
      </c>
      <c r="J266" s="188">
        <f ca="1">IFERROR(__xludf.DUMMYFUNCTION("IMPORTRANGE(""https://docs.google.com/spreadsheets/d/11923uPwbBZFjjGgGUA6NLw09EwE0CqkOc4q9oUmW1yo/edit?usp=sharing"",""พะเยา!J181"")"),0)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IFERROR(__xludf.DUMMYFUNCTION("IMPORTRANGE(""https://docs.google.com/spreadsheets/d/11923uPwbBZFjjGgGUA6NLw09EwE0CqkOc4q9oUmW1yo/edit?usp=sharing"",""พะเยา!I182"")"),1)</f>
        <v>1</v>
      </c>
      <c r="J267" s="188">
        <f ca="1">IFERROR(__xludf.DUMMYFUNCTION("IMPORTRANGE(""https://docs.google.com/spreadsheets/d/11923uPwbBZFjjGgGUA6NLw09EwE0CqkOc4q9oUmW1yo/edit?usp=sharing"",""พะเยา!J182"")"),1)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IFERROR(__xludf.DUMMYFUNCTION("IMPORTRANGE(""https://docs.google.com/spreadsheets/d/11923uPwbBZFjjGgGUA6NLw09EwE0CqkOc4q9oUmW1yo/edit?usp=sharing"",""พะเยา!J183"")"),0)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IFERROR(__xludf.DUMMYFUNCTION("IMPORTRANGE(""https://docs.google.com/spreadsheets/d/11923uPwbBZFjjGgGUA6NLw09EwE0CqkOc4q9oUmW1yo/edit?usp=sharing"",""พะเยา!J184"")"),0)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IFERROR(__xludf.DUMMYFUNCTION("IMPORTRANGE(""https://docs.google.com/spreadsheets/d/11923uPwbBZFjjGgGUA6NLw09EwE0CqkOc4q9oUmW1yo/edit?usp=sharing"",""พะเยา!I185"")"),20)</f>
        <v>20</v>
      </c>
      <c r="J270" s="316">
        <f ca="1">IFERROR(__xludf.DUMMYFUNCTION("IMPORTRANGE(""https://docs.google.com/spreadsheets/d/11923uPwbBZFjjGgGUA6NLw09EwE0CqkOc4q9oUmW1yo/edit?usp=sharing"",""พะเยา!J185"")"),20)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130263</v>
      </c>
      <c r="O271" s="151">
        <f t="shared" ref="O271:O273" ca="1" si="84">IF(L271&gt;0,N271*100/L271,0)</f>
        <v>70.949346405228752</v>
      </c>
      <c r="P271" s="151">
        <f t="shared" ref="P271:P273" ca="1" si="85">IF(M271&gt;0,N271*100/M271,0)</f>
        <v>80.608292079207928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161600</v>
      </c>
      <c r="N273" s="88">
        <f t="shared" ca="1" si="87"/>
        <v>130263</v>
      </c>
      <c r="O273" s="156">
        <f t="shared" ca="1" si="84"/>
        <v>70.949346405228752</v>
      </c>
      <c r="P273" s="156">
        <f t="shared" ca="1" si="85"/>
        <v>80.608292079207928</v>
      </c>
    </row>
    <row r="274" spans="1:16" ht="21.75" customHeight="1" x14ac:dyDescent="0.45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IFERROR(__xludf.DUMMYFUNCTION("IMPORTRANGE(""https://docs.google.com/spreadsheets/d/1Yj_ptqi66GCucihVvJfMjLAmec39IyEx_6qawtMGysU/edit?usp=sharing"",""สบก!CK26"")"),161600)</f>
        <v>161600</v>
      </c>
      <c r="N275" s="168">
        <f ca="1">IFERROR(__xludf.DUMMYFUNCTION("IMPORTRANGE(""https://docs.google.com/spreadsheets/d/1Yj_ptqi66GCucihVvJfMjLAmec39IyEx_6qawtMGysU/edit?usp=sharing"",""สบก!CL26"")"),130263)</f>
        <v>130263</v>
      </c>
      <c r="O275" s="168">
        <f ca="1">IF(L275&gt;0,N275*100/L275,0)</f>
        <v>70.949346405228752</v>
      </c>
      <c r="P275" s="168">
        <f ca="1">IF(M275&gt;0,N275*100/M275,0)</f>
        <v>80.608292079207928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IFERROR(__xludf.DUMMYFUNCTION("IMPORTRANGE(""https://docs.google.com/spreadsheets/d/1Yj_ptqi66GCucihVvJfMjLAmec39IyEx_6qawtMGysU/edit?usp=sharing"",""สบก!CG26"")"),0)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IFERROR(__xludf.DUMMYFUNCTION("IMPORTRANGE(""https://docs.google.com/spreadsheets/d/1Yj_ptqi66GCucihVvJfMjLAmec39IyEx_6qawtMGysU/edit?usp=sharing"",""สบก!CH26"")"),183600)</f>
        <v>183600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IFERROR(__xludf.DUMMYFUNCTION("IMPORTRANGE(""https://docs.google.com/spreadsheets/d/1Yj_ptqi66GCucihVvJfMjLAmec39IyEx_6qawtMGysU/edit?usp=sharing"",""สบก!CI26"")"),0)</f>
        <v>0</v>
      </c>
      <c r="M279" s="50"/>
      <c r="N279" s="50">
        <f ca="1">IFERROR(__xludf.DUMMYFUNCTION("IMPORTRANGE(""https://docs.google.com/spreadsheets/d/1Yj_ptqi66GCucihVvJfMjLAmec39IyEx_6qawtMGysU/edit?usp=sharing"",""สบก!CM26"")"),0)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IFERROR(__xludf.DUMMYFUNCTION("IMPORTRANGE(""https://docs.google.com/spreadsheets/d/11923uPwbBZFjjGgGUA6NLw09EwE0CqkOc4q9oUmW1yo/edit?usp=sharing"",""พะเยา!J191"")"),0)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IFERROR(__xludf.DUMMYFUNCTION("IMPORTRANGE(""https://docs.google.com/spreadsheets/d/11923uPwbBZFjjGgGUA6NLw09EwE0CqkOc4q9oUmW1yo/edit?usp=sharing"",""พะเยา!J192"")"),1)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IFERROR(__xludf.DUMMYFUNCTION("IMPORTRANGE(""https://docs.google.com/spreadsheets/d/11923uPwbBZFjjGgGUA6NLw09EwE0CqkOc4q9oUmW1yo/edit?usp=sharing"",""พะเยา!J193"")"),1)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IFERROR(__xludf.DUMMYFUNCTION("IMPORTRANGE(""https://docs.google.com/spreadsheets/d/11923uPwbBZFjjGgGUA6NLw09EwE0CqkOc4q9oUmW1yo/edit?usp=sharing"",""พะเยา!J194"")"),1)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IFERROR(__xludf.DUMMYFUNCTION("IMPORTRANGE(""https://docs.google.com/spreadsheets/d/11923uPwbBZFjjGgGUA6NLw09EwE0CqkOc4q9oUmW1yo/edit?usp=sharing"",""พะเยา!I195"")"),20)</f>
        <v>20</v>
      </c>
      <c r="J285" s="188">
        <f ca="1">IFERROR(__xludf.DUMMYFUNCTION("IMPORTRANGE(""https://docs.google.com/spreadsheets/d/11923uPwbBZFjjGgGUA6NLw09EwE0CqkOc4q9oUmW1yo/edit?usp=sharing"",""พะเยา!J195"")"),20)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IFERROR(__xludf.DUMMYFUNCTION("IMPORTRANGE(""https://docs.google.com/spreadsheets/d/11923uPwbBZFjjGgGUA6NLw09EwE0CqkOc4q9oUmW1yo/edit?usp=sharing"",""พะเยา!J196"")"),0)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IFERROR(__xludf.DUMMYFUNCTION("IMPORTRANGE(""https://docs.google.com/spreadsheets/d/11923uPwbBZFjjGgGUA6NLw09EwE0CqkOc4q9oUmW1yo/edit?usp=sharing"",""พะเยา!J197"")"),0)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IFERROR(__xludf.DUMMYFUNCTION("IMPORTRANGE(""https://docs.google.com/spreadsheets/d/11923uPwbBZFjjGgGUA6NLw09EwE0CqkOc4q9oUmW1yo/edit?usp=sharing"",""พะเยา!I199"")"),0)</f>
        <v>0</v>
      </c>
      <c r="J289" s="316">
        <f ca="1">IFERROR(__xludf.DUMMYFUNCTION("IMPORTRANGE(""https://docs.google.com/spreadsheets/d/11923uPwbBZFjjGgGUA6NLw09EwE0CqkOc4q9oUmW1yo/edit?usp=sharing"",""พะเยา!J199"")"),0)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IFERROR(__xludf.DUMMYFUNCTION("IMPORTRANGE(""https://docs.google.com/spreadsheets/d/1Yj_ptqi66GCucihVvJfMjLAmec39IyEx_6qawtMGysU/edit?usp=sharing"",""สบก!CT26"")"),0)</f>
        <v>0</v>
      </c>
      <c r="N294" s="168">
        <f ca="1">IFERROR(__xludf.DUMMYFUNCTION("IMPORTRANGE(""https://docs.google.com/spreadsheets/d/1Yj_ptqi66GCucihVvJfMjLAmec39IyEx_6qawtMGysU/edit?usp=sharing"",""สบก!CU26"")"),0)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IFERROR(__xludf.DUMMYFUNCTION("IMPORTRANGE(""https://docs.google.com/spreadsheets/d/1Yj_ptqi66GCucihVvJfMjLAmec39IyEx_6qawtMGysU/edit?usp=sharing"",""สบก!CP26"")"),0)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IFERROR(__xludf.DUMMYFUNCTION("IMPORTRANGE(""https://docs.google.com/spreadsheets/d/1Yj_ptqi66GCucihVvJfMjLAmec39IyEx_6qawtMGysU/edit?usp=sharing"",""สบก!CQ26"")"),0)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IFERROR(__xludf.DUMMYFUNCTION("IMPORTRANGE(""https://docs.google.com/spreadsheets/d/1Yj_ptqi66GCucihVvJfMjLAmec39IyEx_6qawtMGysU/edit?usp=sharing"",""สบก!CR26"")"),0)</f>
        <v>0</v>
      </c>
      <c r="M298" s="50"/>
      <c r="N298" s="50">
        <f ca="1">IFERROR(__xludf.DUMMYFUNCTION("IMPORTRANGE(""https://docs.google.com/spreadsheets/d/1Yj_ptqi66GCucihVvJfMjLAmec39IyEx_6qawtMGysU/edit?usp=sharing"",""สบก!CV26"")"),0)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IFERROR(__xludf.DUMMYFUNCTION("IMPORTRANGE(""https://docs.google.com/spreadsheets/d/11923uPwbBZFjjGgGUA6NLw09EwE0CqkOc4q9oUmW1yo/edit?usp=sharing"",""พะเยา!J205"")"),0)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IFERROR(__xludf.DUMMYFUNCTION("IMPORTRANGE(""https://docs.google.com/spreadsheets/d/11923uPwbBZFjjGgGUA6NLw09EwE0CqkOc4q9oUmW1yo/edit?usp=sharing"",""พะเยา!J206"")"),0)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IFERROR(__xludf.DUMMYFUNCTION("IMPORTRANGE(""https://docs.google.com/spreadsheets/d/11923uPwbBZFjjGgGUA6NLw09EwE0CqkOc4q9oUmW1yo/edit?usp=sharing"",""พะเยา!J207"")"),0)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IFERROR(__xludf.DUMMYFUNCTION("IMPORTRANGE(""https://docs.google.com/spreadsheets/d/11923uPwbBZFjjGgGUA6NLw09EwE0CqkOc4q9oUmW1yo/edit?usp=sharing"",""พะเยา!J208"")"),0)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IFERROR(__xludf.DUMMYFUNCTION("IMPORTRANGE(""https://docs.google.com/spreadsheets/d/11923uPwbBZFjjGgGUA6NLw09EwE0CqkOc4q9oUmW1yo/edit?usp=sharing"",""พะเยา!I209"")"),0)</f>
        <v>0</v>
      </c>
      <c r="J304" s="203">
        <f ca="1">IFERROR(__xludf.DUMMYFUNCTION("IMPORTRANGE(""https://docs.google.com/spreadsheets/d/11923uPwbBZFjjGgGUA6NLw09EwE0CqkOc4q9oUmW1yo/edit?usp=sharing"",""พะเยา!J209"")"),0)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IFERROR(__xludf.DUMMYFUNCTION("IMPORTRANGE(""https://docs.google.com/spreadsheets/d/11923uPwbBZFjjGgGUA6NLw09EwE0CqkOc4q9oUmW1yo/edit?usp=sharing"",""พะเยา!I211"")"),0)</f>
        <v>0</v>
      </c>
      <c r="J306" s="203">
        <f ca="1">IFERROR(__xludf.DUMMYFUNCTION("IMPORTRANGE(""https://docs.google.com/spreadsheets/d/11923uPwbBZFjjGgGUA6NLw09EwE0CqkOc4q9oUmW1yo/edit?usp=sharing"",""พะเยา!J211"")"),0)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IFERROR(__xludf.DUMMYFUNCTION("IMPORTRANGE(""https://docs.google.com/spreadsheets/d/11923uPwbBZFjjGgGUA6NLw09EwE0CqkOc4q9oUmW1yo/edit?usp=sharing"",""พะเยา!J212"")"),0)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IFERROR(__xludf.DUMMYFUNCTION("IMPORTRANGE(""https://docs.google.com/spreadsheets/d/11923uPwbBZFjjGgGUA6NLw09EwE0CqkOc4q9oUmW1yo/edit?usp=sharing"",""พะเยา!J213"")"),0)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IFERROR(__xludf.DUMMYFUNCTION("IMPORTRANGE(""https://docs.google.com/spreadsheets/d/11923uPwbBZFjjGgGUA6NLw09EwE0CqkOc4q9oUmW1yo/edit?usp=sharing"",""พะเยา!I214"")"),0)</f>
        <v>0</v>
      </c>
      <c r="J309" s="333">
        <f ca="1">IFERROR(__xludf.DUMMYFUNCTION("IMPORTRANGE(""https://docs.google.com/spreadsheets/d/11923uPwbBZFjjGgGUA6NLw09EwE0CqkOc4q9oUmW1yo/edit?usp=sharing"",""พะเยา!J214"")"),0)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IFERROR(__xludf.DUMMYFUNCTION("IMPORTRANGE(""https://docs.google.com/spreadsheets/d/1Yj_ptqi66GCucihVvJfMjLAmec39IyEx_6qawtMGysU/edit?usp=sharing"",""สบก!DC26"")"),0)</f>
        <v>0</v>
      </c>
      <c r="N314" s="168">
        <f ca="1">IFERROR(__xludf.DUMMYFUNCTION("IMPORTRANGE(""https://docs.google.com/spreadsheets/d/1Yj_ptqi66GCucihVvJfMjLAmec39IyEx_6qawtMGysU/edit?usp=sharing"",""สบก!DD26"")"),0)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IFERROR(__xludf.DUMMYFUNCTION("IMPORTRANGE(""https://docs.google.com/spreadsheets/d/1Yj_ptqi66GCucihVvJfMjLAmec39IyEx_6qawtMGysU/edit?usp=sharing"",""สบก!CY26"")"),0)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IFERROR(__xludf.DUMMYFUNCTION("IMPORTRANGE(""https://docs.google.com/spreadsheets/d/1Yj_ptqi66GCucihVvJfMjLAmec39IyEx_6qawtMGysU/edit?usp=sharing"",""สบก!CZ26"")"),0)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IFERROR(__xludf.DUMMYFUNCTION("IMPORTRANGE(""https://docs.google.com/spreadsheets/d/1Yj_ptqi66GCucihVvJfMjLAmec39IyEx_6qawtMGysU/edit?usp=sharing"",""สบก!DA26"")"),0)</f>
        <v>0</v>
      </c>
      <c r="M318" s="50"/>
      <c r="N318" s="50">
        <f ca="1">IFERROR(__xludf.DUMMYFUNCTION("IMPORTRANGE(""https://docs.google.com/spreadsheets/d/1Yj_ptqi66GCucihVvJfMjLAmec39IyEx_6qawtMGysU/edit?usp=sharing"",""สบก!DE26"")"),0)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IFERROR(__xludf.DUMMYFUNCTION("IMPORTRANGE(""https://docs.google.com/spreadsheets/d/11923uPwbBZFjjGgGUA6NLw09EwE0CqkOc4q9oUmW1yo/edit?usp=sharing"",""พะเยา!J220"")"),0)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IFERROR(__xludf.DUMMYFUNCTION("IMPORTRANGE(""https://docs.google.com/spreadsheets/d/11923uPwbBZFjjGgGUA6NLw09EwE0CqkOc4q9oUmW1yo/edit?usp=sharing"",""พะเยา!J221"")"),0)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IFERROR(__xludf.DUMMYFUNCTION("IMPORTRANGE(""https://docs.google.com/spreadsheets/d/11923uPwbBZFjjGgGUA6NLw09EwE0CqkOc4q9oUmW1yo/edit?usp=sharing"",""พะเยา!J222"")"),0)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IFERROR(__xludf.DUMMYFUNCTION("IMPORTRANGE(""https://docs.google.com/spreadsheets/d/11923uPwbBZFjjGgGUA6NLw09EwE0CqkOc4q9oUmW1yo/edit?usp=sharing"",""พะเยา!J223"")"),0)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IFERROR(__xludf.DUMMYFUNCTION("IMPORTRANGE(""https://docs.google.com/spreadsheets/d/11923uPwbBZFjjGgGUA6NLw09EwE0CqkOc4q9oUmW1yo/edit?usp=sharing"",""พะเยา!I224"")"),0)</f>
        <v>0</v>
      </c>
      <c r="J324" s="203">
        <f ca="1">IFERROR(__xludf.DUMMYFUNCTION("IMPORTRANGE(""https://docs.google.com/spreadsheets/d/11923uPwbBZFjjGgGUA6NLw09EwE0CqkOc4q9oUmW1yo/edit?usp=sharing"",""พะเยา!J224"")"),0)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IFERROR(__xludf.DUMMYFUNCTION("IMPORTRANGE(""https://docs.google.com/spreadsheets/d/11923uPwbBZFjjGgGUA6NLw09EwE0CqkOc4q9oUmW1yo/edit?usp=sharing"",""พะเยา!J225"")"),0)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IFERROR(__xludf.DUMMYFUNCTION("IMPORTRANGE(""https://docs.google.com/spreadsheets/d/11923uPwbBZFjjGgGUA6NLw09EwE0CqkOc4q9oUmW1yo/edit?usp=sharing"",""พะเยา!J226"")"),0)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IFERROR(__xludf.DUMMYFUNCTION("IMPORTRANGE(""https://docs.google.com/spreadsheets/d/11923uPwbBZFjjGgGUA6NLw09EwE0CqkOc4q9oUmW1yo/edit?usp=sharing"",""พะเยา!I228"")"),580)</f>
        <v>580</v>
      </c>
      <c r="J328" s="339">
        <f ca="1">IFERROR(__xludf.DUMMYFUNCTION("IMPORTRANGE(""https://docs.google.com/spreadsheets/d/11923uPwbBZFjjGgGUA6NLw09EwE0CqkOc4q9oUmW1yo/edit?usp=sharing"",""พะเยา!J228"")"),334)</f>
        <v>334</v>
      </c>
      <c r="K328" s="317">
        <f ca="1">IF(I328&gt;0,J328*100/I328,0)</f>
        <v>57.586206896551722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613050</v>
      </c>
      <c r="M329" s="152">
        <f t="shared" ca="1" si="98"/>
        <v>509650</v>
      </c>
      <c r="N329" s="152">
        <f t="shared" ca="1" si="98"/>
        <v>434507.7</v>
      </c>
      <c r="O329" s="151">
        <f t="shared" ref="O329:O331" ca="1" si="99">IF(L329&gt;0,N329*100/L329,0)</f>
        <v>70.876388549057992</v>
      </c>
      <c r="P329" s="151">
        <f t="shared" ref="P329:P331" ca="1" si="100">IF(M329&gt;0,N329*100/M329,0)</f>
        <v>85.256097321691357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613050</v>
      </c>
      <c r="M331" s="88">
        <f t="shared" ca="1" si="102"/>
        <v>509650</v>
      </c>
      <c r="N331" s="88">
        <f t="shared" ca="1" si="102"/>
        <v>434507.7</v>
      </c>
      <c r="O331" s="156">
        <f t="shared" ca="1" si="99"/>
        <v>70.876388549057992</v>
      </c>
      <c r="P331" s="156">
        <f t="shared" ca="1" si="100"/>
        <v>85.256097321691357</v>
      </c>
    </row>
    <row r="332" spans="1:16" ht="21.75" customHeight="1" x14ac:dyDescent="0.45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598050</v>
      </c>
      <c r="M333" s="167">
        <f ca="1">IFERROR(__xludf.DUMMYFUNCTION("IMPORTRANGE(""https://docs.google.com/spreadsheets/d/1Yj_ptqi66GCucihVvJfMjLAmec39IyEx_6qawtMGysU/edit?usp=sharing"",""สบก!DL26"")"),494650)</f>
        <v>494650</v>
      </c>
      <c r="N333" s="168">
        <f ca="1">IFERROR(__xludf.DUMMYFUNCTION("IMPORTRANGE(""https://docs.google.com/spreadsheets/d/1Yj_ptqi66GCucihVvJfMjLAmec39IyEx_6qawtMGysU/edit?usp=sharing"",""สบก!DM26"")"),419507.7)</f>
        <v>419507.7</v>
      </c>
      <c r="O333" s="168">
        <f ca="1">IF(L333&gt;0,N333*100/L333,0)</f>
        <v>70.14592425382493</v>
      </c>
      <c r="P333" s="168">
        <f ca="1">IF(M333&gt;0,N333*100/M333,0)</f>
        <v>84.808996259981811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IFERROR(__xludf.DUMMYFUNCTION("IMPORTRANGE(""https://docs.google.com/spreadsheets/d/1Yj_ptqi66GCucihVvJfMjLAmec39IyEx_6qawtMGysU/edit?usp=sharing"",""สบก!DH26"")"),194400)</f>
        <v>194400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IFERROR(__xludf.DUMMYFUNCTION("IMPORTRANGE(""https://docs.google.com/spreadsheets/d/1Yj_ptqi66GCucihVvJfMjLAmec39IyEx_6qawtMGysU/edit?usp=sharing"",""สบก!DI26"")"),403650)</f>
        <v>403650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IFERROR(__xludf.DUMMYFUNCTION("IMPORTRANGE(""https://docs.google.com/spreadsheets/d/1Yj_ptqi66GCucihVvJfMjLAmec39IyEx_6qawtMGysU/edit?usp=sharing"",""สบก!DJ26"")"),15000)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IFERROR(__xludf.DUMMYFUNCTION("IMPORTRANGE(""https://docs.google.com/spreadsheets/d/1Yj_ptqi66GCucihVvJfMjLAmec39IyEx_6qawtMGysU/edit?usp=sharing"",""สบก!DN26"")"),15000)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IFERROR(__xludf.DUMMYFUNCTION("IMPORTRANGE(""https://docs.google.com/spreadsheets/d/11923uPwbBZFjjGgGUA6NLw09EwE0CqkOc4q9oUmW1yo/edit?usp=sharing"",""พะเยา!I234"")"),0)</f>
        <v>0</v>
      </c>
      <c r="J339" s="187">
        <f ca="1">IFERROR(__xludf.DUMMYFUNCTION("IMPORTRANGE(""https://docs.google.com/spreadsheets/d/11923uPwbBZFjjGgGUA6NLw09EwE0CqkOc4q9oUmW1yo/edit?usp=sharing"",""พะเยา!J234"")"),191)</f>
        <v>191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IFERROR(__xludf.DUMMYFUNCTION("IMPORTRANGE(""https://docs.google.com/spreadsheets/d/11923uPwbBZFjjGgGUA6NLw09EwE0CqkOc4q9oUmW1yo/edit?usp=sharing"",""พะเยา!I235"")"),2000)</f>
        <v>2000</v>
      </c>
      <c r="J340" s="187">
        <f ca="1">IFERROR(__xludf.DUMMYFUNCTION("IMPORTRANGE(""https://docs.google.com/spreadsheets/d/11923uPwbBZFjjGgGUA6NLw09EwE0CqkOc4q9oUmW1yo/edit?usp=sharing"",""พะเยา!J235"")"),1173.83)</f>
        <v>1173.83</v>
      </c>
      <c r="K340" s="342">
        <f t="shared" ca="1" si="103"/>
        <v>58.691499999999998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IFERROR(__xludf.DUMMYFUNCTION("IMPORTRANGE(""https://docs.google.com/spreadsheets/d/11923uPwbBZFjjGgGUA6NLw09EwE0CqkOc4q9oUmW1yo/edit?usp=sharing"",""พะเยา!I236"")"),580)</f>
        <v>580</v>
      </c>
      <c r="J341" s="187">
        <f ca="1">IFERROR(__xludf.DUMMYFUNCTION("IMPORTRANGE(""https://docs.google.com/spreadsheets/d/11923uPwbBZFjjGgGUA6NLw09EwE0CqkOc4q9oUmW1yo/edit?usp=sharing"",""พะเยา!J236"")"),341)</f>
        <v>341</v>
      </c>
      <c r="K341" s="342">
        <f t="shared" ca="1" si="103"/>
        <v>58.793103448275865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IFERROR(__xludf.DUMMYFUNCTION("IMPORTRANGE(""https://docs.google.com/spreadsheets/d/11923uPwbBZFjjGgGUA6NLw09EwE0CqkOc4q9oUmW1yo/edit?usp=sharing"",""พะเยา!I237"")"),0)</f>
        <v>0</v>
      </c>
      <c r="J342" s="187">
        <f ca="1">IFERROR(__xludf.DUMMYFUNCTION("IMPORTRANGE(""https://docs.google.com/spreadsheets/d/11923uPwbBZFjjGgGUA6NLw09EwE0CqkOc4q9oUmW1yo/edit?usp=sharing"",""พะเยา!J237"")"),2507.10999999999)</f>
        <v>2507.1099999999901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IFERROR(__xludf.DUMMYFUNCTION("IMPORTRANGE(""https://docs.google.com/spreadsheets/d/11923uPwbBZFjjGgGUA6NLw09EwE0CqkOc4q9oUmW1yo/edit?usp=sharing"",""พะเยา!I238"")"),580)</f>
        <v>580</v>
      </c>
      <c r="J343" s="187">
        <f ca="1">IFERROR(__xludf.DUMMYFUNCTION("IMPORTRANGE(""https://docs.google.com/spreadsheets/d/11923uPwbBZFjjGgGUA6NLw09EwE0CqkOc4q9oUmW1yo/edit?usp=sharing"",""พะเยา!J238"")"),1)</f>
        <v>1</v>
      </c>
      <c r="K343" s="342">
        <f t="shared" ca="1" si="103"/>
        <v>0.17241379310344829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IFERROR(__xludf.DUMMYFUNCTION("IMPORTRANGE(""https://docs.google.com/spreadsheets/d/11923uPwbBZFjjGgGUA6NLw09EwE0CqkOc4q9oUmW1yo/edit?usp=sharing"",""พะเยา!I239"")"),0)</f>
        <v>0</v>
      </c>
      <c r="J344" s="187">
        <f ca="1">IFERROR(__xludf.DUMMYFUNCTION("IMPORTRANGE(""https://docs.google.com/spreadsheets/d/11923uPwbBZFjjGgGUA6NLw09EwE0CqkOc4q9oUmW1yo/edit?usp=sharing"",""พะเยา!J239"")"),6.29)</f>
        <v>6.29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IFERROR(__xludf.DUMMYFUNCTION("IMPORTRANGE(""https://docs.google.com/spreadsheets/d/11923uPwbBZFjjGgGUA6NLw09EwE0CqkOc4q9oUmW1yo/edit?usp=sharing"",""พะเยา!I240"")"),580)</f>
        <v>580</v>
      </c>
      <c r="J345" s="187">
        <f ca="1">IFERROR(__xludf.DUMMYFUNCTION("IMPORTRANGE(""https://docs.google.com/spreadsheets/d/11923uPwbBZFjjGgGUA6NLw09EwE0CqkOc4q9oUmW1yo/edit?usp=sharing"",""พะเยา!J240"")"),334)</f>
        <v>334</v>
      </c>
      <c r="K345" s="342">
        <f t="shared" ca="1" si="103"/>
        <v>57.586206896551722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IFERROR(__xludf.DUMMYFUNCTION("IMPORTRANGE(""https://docs.google.com/spreadsheets/d/11923uPwbBZFjjGgGUA6NLw09EwE0CqkOc4q9oUmW1yo/edit?usp=sharing"",""พะเยา!I241"")"),0)</f>
        <v>0</v>
      </c>
      <c r="J346" s="187">
        <f ca="1">IFERROR(__xludf.DUMMYFUNCTION("IMPORTRANGE(""https://docs.google.com/spreadsheets/d/11923uPwbBZFjjGgGUA6NLw09EwE0CqkOc4q9oUmW1yo/edit?usp=sharing"",""พะเยา!J241"")"),2313.73)</f>
        <v>2313.73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IFERROR(__xludf.DUMMYFUNCTION("IMPORTRANGE(""https://docs.google.com/spreadsheets/d/11923uPwbBZFjjGgGUA6NLw09EwE0CqkOc4q9oUmW1yo/edit?usp=sharing"",""พะเยา!L242"")"),2547436)</f>
        <v>2547436</v>
      </c>
      <c r="M347" s="357"/>
      <c r="N347" s="357">
        <f ca="1">IFERROR(__xludf.DUMMYFUNCTION("IMPORTRANGE(""https://docs.google.com/spreadsheets/d/11923uPwbBZFjjGgGUA6NLw09EwE0CqkOc4q9oUmW1yo/edit?usp=sharing"",""พะเยา!M242"")"),914731.789999999)</f>
        <v>914731.78999999899</v>
      </c>
      <c r="O347" s="357">
        <f ca="1">+IF(L347&gt;0,N347*100/L347,0)</f>
        <v>35.907939983575602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IFERROR(__xludf.DUMMYFUNCTION("IMPORTRANGE(""https://docs.google.com/spreadsheets/d/11923uPwbBZFjjGgGUA6NLw09EwE0CqkOc4q9oUmW1yo/edit?usp=sharing"",""พะเยา!I244"")"),105)</f>
        <v>105</v>
      </c>
      <c r="J349" s="370">
        <f ca="1">IFERROR(__xludf.DUMMYFUNCTION("IMPORTRANGE(""https://docs.google.com/spreadsheets/d/11923uPwbBZFjjGgGUA6NLw09EwE0CqkOc4q9oUmW1yo/edit?usp=sharing"",""พะเยา!J244"")"),0)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IFERROR(__xludf.DUMMYFUNCTION("IMPORTRANGE(""https://docs.google.com/spreadsheets/d/11923uPwbBZFjjGgGUA6NLw09EwE0CqkOc4q9oUmW1yo/edit?usp=sharing"",""พะเยา!L244"")"),363980)</f>
        <v>363980</v>
      </c>
      <c r="M349" s="372"/>
      <c r="N349" s="372">
        <f ca="1">IFERROR(__xludf.DUMMYFUNCTION("IMPORTRANGE(""https://docs.google.com/spreadsheets/d/11923uPwbBZFjjGgGUA6NLw09EwE0CqkOc4q9oUmW1yo/edit?usp=sharing"",""พะเยา!M244"")"),128641.74)</f>
        <v>128641.74</v>
      </c>
      <c r="O349" s="372">
        <f ca="1">+IF(L349&gt;0,N349*100/L349,0)</f>
        <v>35.343079290070882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IFERROR(__xludf.DUMMYFUNCTION("IMPORTRANGE(""https://docs.google.com/spreadsheets/d/11923uPwbBZFjjGgGUA6NLw09EwE0CqkOc4q9oUmW1yo/edit?usp=sharing"",""พะเยา!I245"")"),60)</f>
        <v>60</v>
      </c>
      <c r="J350" s="370">
        <f ca="1">IFERROR(__xludf.DUMMYFUNCTION("IMPORTRANGE(""https://docs.google.com/spreadsheets/d/11923uPwbBZFjjGgGUA6NLw09EwE0CqkOc4q9oUmW1yo/edit?usp=sharing"",""พะเยา!J245"")"),60)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IFERROR(__xludf.DUMMYFUNCTION("IMPORTRANGE(""https://docs.google.com/spreadsheets/d/11923uPwbBZFjjGgGUA6NLw09EwE0CqkOc4q9oUmW1yo/edit?usp=sharing"",""พะเยา!L246"")"),0)</f>
        <v>0</v>
      </c>
      <c r="M351" s="164"/>
      <c r="N351" s="164">
        <f ca="1">IFERROR(__xludf.DUMMYFUNCTION("IMPORTRANGE(""https://docs.google.com/spreadsheets/d/11923uPwbBZFjjGgGUA6NLw09EwE0CqkOc4q9oUmW1yo/edit?usp=sharing"",""พะเยา!M246"")"),0)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IFERROR(__xludf.DUMMYFUNCTION("IMPORTRANGE(""https://docs.google.com/spreadsheets/d/11923uPwbBZFjjGgGUA6NLw09EwE0CqkOc4q9oUmW1yo/edit?usp=sharing"",""พะเยา!L247"")"),363980)</f>
        <v>363980</v>
      </c>
      <c r="M352" s="165"/>
      <c r="N352" s="164">
        <f ca="1">IFERROR(__xludf.DUMMYFUNCTION("IMPORTRANGE(""https://docs.google.com/spreadsheets/d/11923uPwbBZFjjGgGUA6NLw09EwE0CqkOc4q9oUmW1yo/edit?usp=sharing"",""พะเยา!M247"")"),128641.74)</f>
        <v>128641.74</v>
      </c>
      <c r="O352" s="165">
        <f t="shared" ca="1" si="105"/>
        <v>35.343079290070882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IFERROR(__xludf.DUMMYFUNCTION("IMPORTRANGE(""https://docs.google.com/spreadsheets/d/11923uPwbBZFjjGgGUA6NLw09EwE0CqkOc4q9oUmW1yo/edit?usp=sharing"",""พะเยา!L248"")"),0)</f>
        <v>0</v>
      </c>
      <c r="M353" s="168"/>
      <c r="N353" s="168">
        <f ca="1">IFERROR(__xludf.DUMMYFUNCTION("IMPORTRANGE(""https://docs.google.com/spreadsheets/d/11923uPwbBZFjjGgGUA6NLw09EwE0CqkOc4q9oUmW1yo/edit?usp=sharing"",""พะเยา!M248"")"),0)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IFERROR(__xludf.DUMMYFUNCTION("IMPORTRANGE(""https://docs.google.com/spreadsheets/d/11923uPwbBZFjjGgGUA6NLw09EwE0CqkOc4q9oUmW1yo/edit?usp=sharing"",""พะเยา!L249"")"),363980)</f>
        <v>363980</v>
      </c>
      <c r="M354" s="168"/>
      <c r="N354" s="167">
        <f ca="1">IFERROR(__xludf.DUMMYFUNCTION("IMPORTRANGE(""https://docs.google.com/spreadsheets/d/11923uPwbBZFjjGgGUA6NLw09EwE0CqkOc4q9oUmW1yo/edit?usp=sharing"",""พะเยา!M249"")"),128641.74)</f>
        <v>128641.74</v>
      </c>
      <c r="O354" s="168">
        <f t="shared" ca="1" si="105"/>
        <v>35.343079290070882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IFERROR(__xludf.DUMMYFUNCTION("IMPORTRANGE(""https://docs.google.com/spreadsheets/d/11923uPwbBZFjjGgGUA6NLw09EwE0CqkOc4q9oUmW1yo/edit?usp=sharing"",""พะเยา!M250"")"),38200)</f>
        <v>38200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IFERROR(__xludf.DUMMYFUNCTION("IMPORTRANGE(""https://docs.google.com/spreadsheets/d/11923uPwbBZFjjGgGUA6NLw09EwE0CqkOc4q9oUmW1yo/edit?usp=sharing"",""พะเยา!M251"")"),0)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IFERROR(__xludf.DUMMYFUNCTION("IMPORTRANGE(""https://docs.google.com/spreadsheets/d/11923uPwbBZFjjGgGUA6NLw09EwE0CqkOc4q9oUmW1yo/edit?usp=sharing"",""พะเยา!M252"")"),69132.74)</f>
        <v>69132.740000000005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IFERROR(__xludf.DUMMYFUNCTION("IMPORTRANGE(""https://docs.google.com/spreadsheets/d/11923uPwbBZFjjGgGUA6NLw09EwE0CqkOc4q9oUmW1yo/edit?usp=sharing"",""พะเยา!M253"")"),21309)</f>
        <v>21309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IFERROR(__xludf.DUMMYFUNCTION("IMPORTRANGE(""https://docs.google.com/spreadsheets/d/11923uPwbBZFjjGgGUA6NLw09EwE0CqkOc4q9oUmW1yo/edit?usp=sharing"",""พะเยา!J255"")"),0)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IFERROR(__xludf.DUMMYFUNCTION("IMPORTRANGE(""https://docs.google.com/spreadsheets/d/11923uPwbBZFjjGgGUA6NLw09EwE0CqkOc4q9oUmW1yo/edit?usp=sharing"",""พะเยา!J256"")"),1)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IFERROR(__xludf.DUMMYFUNCTION("IMPORTRANGE(""https://docs.google.com/spreadsheets/d/11923uPwbBZFjjGgGUA6NLw09EwE0CqkOc4q9oUmW1yo/edit?usp=sharing"",""พะเยา!J257"")"),1)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IFERROR(__xludf.DUMMYFUNCTION("IMPORTRANGE(""https://docs.google.com/spreadsheets/d/11923uPwbBZFjjGgGUA6NLw09EwE0CqkOc4q9oUmW1yo/edit?usp=sharing"",""พะเยา!J258"")"),1)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IFERROR(__xludf.DUMMYFUNCTION("IMPORTRANGE(""https://docs.google.com/spreadsheets/d/11923uPwbBZFjjGgGUA6NLw09EwE0CqkOc4q9oUmW1yo/edit?usp=sharing"",""พะเยา!J166"")"),0)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IFERROR(__xludf.DUMMYFUNCTION("IMPORTRANGE(""https://docs.google.com/spreadsheets/d/11923uPwbBZFjjGgGUA6NLw09EwE0CqkOc4q9oUmW1yo/edit?usp=sharing"",""พะเยา!J166"")"),0)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IFERROR(__xludf.DUMMYFUNCTION("IMPORTRANGE(""https://docs.google.com/spreadsheets/d/11923uPwbBZFjjGgGUA6NLw09EwE0CqkOc4q9oUmW1yo/edit?usp=sharing"",""พะเยา!J166"")"),0)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IFERROR(__xludf.DUMMYFUNCTION("IMPORTRANGE(""https://docs.google.com/spreadsheets/d/11923uPwbBZFjjGgGUA6NLw09EwE0CqkOc4q9oUmW1yo/edit?usp=sharing"",""พะเยา!J166"")"),0)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IFERROR(__xludf.DUMMYFUNCTION("IMPORTRANGE(""https://docs.google.com/spreadsheets/d/11923uPwbBZFjjGgGUA6NLw09EwE0CqkOc4q9oUmW1yo/edit?usp=sharing"",""พะเยา!I263"")"),60)</f>
        <v>60</v>
      </c>
      <c r="J368" s="187">
        <f ca="1">IFERROR(__xludf.DUMMYFUNCTION("IMPORTRANGE(""https://docs.google.com/spreadsheets/d/11923uPwbBZFjjGgGUA6NLw09EwE0CqkOc4q9oUmW1yo/edit?usp=sharing"",""พะเยา!J263"")"),60)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IFERROR(__xludf.DUMMYFUNCTION("IMPORTRANGE(""https://docs.google.com/spreadsheets/d/11923uPwbBZFjjGgGUA6NLw09EwE0CqkOc4q9oUmW1yo/edit?usp=sharing"",""พะเยา!I164"")"),0)</f>
        <v>0</v>
      </c>
      <c r="J369" s="203">
        <f ca="1">IFERROR(__xludf.DUMMYFUNCTION("IMPORTRANGE(""https://docs.google.com/spreadsheets/d/11923uPwbBZFjjGgGUA6NLw09EwE0CqkOc4q9oUmW1yo/edit?usp=sharing"",""พะเยา!J164"")"),0)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IFERROR(__xludf.DUMMYFUNCTION("IMPORTRANGE(""https://docs.google.com/spreadsheets/d/11923uPwbBZFjjGgGUA6NLw09EwE0CqkOc4q9oUmW1yo/edit?usp=sharing"",""พะเยา!I265"")"),60)</f>
        <v>60</v>
      </c>
      <c r="J370" s="203">
        <f ca="1">IFERROR(__xludf.DUMMYFUNCTION("IMPORTRANGE(""https://docs.google.com/spreadsheets/d/11923uPwbBZFjjGgGUA6NLw09EwE0CqkOc4q9oUmW1yo/edit?usp=sharing"",""พะเยา!J265"")"),60)</f>
        <v>60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IFERROR(__xludf.DUMMYFUNCTION("IMPORTRANGE(""https://docs.google.com/spreadsheets/d/11923uPwbBZFjjGgGUA6NLw09EwE0CqkOc4q9oUmW1yo/edit?usp=sharing"",""พะเยา!I164"")"),0)</f>
        <v>0</v>
      </c>
      <c r="J371" s="188">
        <f ca="1">IFERROR(__xludf.DUMMYFUNCTION("IMPORTRANGE(""https://docs.google.com/spreadsheets/d/11923uPwbBZFjjGgGUA6NLw09EwE0CqkOc4q9oUmW1yo/edit?usp=sharing"",""พะเยา!J164"")"),0)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IFERROR(__xludf.DUMMYFUNCTION("IMPORTRANGE(""https://docs.google.com/spreadsheets/d/11923uPwbBZFjjGgGUA6NLw09EwE0CqkOc4q9oUmW1yo/edit?usp=sharing"",""พะเยา!I267"")"),60)</f>
        <v>60</v>
      </c>
      <c r="J372" s="188">
        <f ca="1">IFERROR(__xludf.DUMMYFUNCTION("IMPORTRANGE(""https://docs.google.com/spreadsheets/d/11923uPwbBZFjjGgGUA6NLw09EwE0CqkOc4q9oUmW1yo/edit?usp=sharing"",""พะเยา!J267"")"),60)</f>
        <v>60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IFERROR(__xludf.DUMMYFUNCTION("IMPORTRANGE(""https://docs.google.com/spreadsheets/d/11923uPwbBZFjjGgGUA6NLw09EwE0CqkOc4q9oUmW1yo/edit?usp=sharing"",""พะเยา!I164"")"),0)</f>
        <v>0</v>
      </c>
      <c r="J373" s="203">
        <f ca="1">IFERROR(__xludf.DUMMYFUNCTION("IMPORTRANGE(""https://docs.google.com/spreadsheets/d/11923uPwbBZFjjGgGUA6NLw09EwE0CqkOc4q9oUmW1yo/edit?usp=sharing"",""พะเยา!J164"")"),0)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IFERROR(__xludf.DUMMYFUNCTION("IMPORTRANGE(""https://docs.google.com/spreadsheets/d/11923uPwbBZFjjGgGUA6NLw09EwE0CqkOc4q9oUmW1yo/edit?usp=sharing"",""พะเยา!I164"")"),0)</f>
        <v>0</v>
      </c>
      <c r="J374" s="187">
        <f ca="1">IFERROR(__xludf.DUMMYFUNCTION("IMPORTRANGE(""https://docs.google.com/spreadsheets/d/11923uPwbBZFjjGgGUA6NLw09EwE0CqkOc4q9oUmW1yo/edit?usp=sharing"",""พะเยา!J164"")"),0)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IFERROR(__xludf.DUMMYFUNCTION("IMPORTRANGE(""https://docs.google.com/spreadsheets/d/11923uPwbBZFjjGgGUA6NLw09EwE0CqkOc4q9oUmW1yo/edit?usp=sharing"",""พะเยา!I270"")"),105)</f>
        <v>105</v>
      </c>
      <c r="J375" s="187">
        <f ca="1">IFERROR(__xludf.DUMMYFUNCTION("IMPORTRANGE(""https://docs.google.com/spreadsheets/d/11923uPwbBZFjjGgGUA6NLw09EwE0CqkOc4q9oUmW1yo/edit?usp=sharing"",""พะเยา!J270"")"),0)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IFERROR(__xludf.DUMMYFUNCTION("IMPORTRANGE(""https://docs.google.com/spreadsheets/d/11923uPwbBZFjjGgGUA6NLw09EwE0CqkOc4q9oUmW1yo/edit?usp=sharing"",""พะเยา!I271"")"),30)</f>
        <v>30</v>
      </c>
      <c r="J376" s="188">
        <f ca="1">IFERROR(__xludf.DUMMYFUNCTION("IMPORTRANGE(""https://docs.google.com/spreadsheets/d/11923uPwbBZFjjGgGUA6NLw09EwE0CqkOc4q9oUmW1yo/edit?usp=sharing"",""พะเยา!J271"")"),0)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IFERROR(__xludf.DUMMYFUNCTION("IMPORTRANGE(""https://docs.google.com/spreadsheets/d/11923uPwbBZFjjGgGUA6NLw09EwE0CqkOc4q9oUmW1yo/edit?usp=sharing"",""พะเยา!I272"")"),75)</f>
        <v>75</v>
      </c>
      <c r="J377" s="203">
        <f ca="1">IFERROR(__xludf.DUMMYFUNCTION("IMPORTRANGE(""https://docs.google.com/spreadsheets/d/11923uPwbBZFjjGgGUA6NLw09EwE0CqkOc4q9oUmW1yo/edit?usp=sharing"",""พะเยา!J272"")"),0)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IFERROR(__xludf.DUMMYFUNCTION("IMPORTRANGE(""https://docs.google.com/spreadsheets/d/11923uPwbBZFjjGgGUA6NLw09EwE0CqkOc4q9oUmW1yo/edit?usp=sharing"",""พะเยา!J273"")"),0)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IFERROR(__xludf.DUMMYFUNCTION("IMPORTRANGE(""https://docs.google.com/spreadsheets/d/11923uPwbBZFjjGgGUA6NLw09EwE0CqkOc4q9oUmW1yo/edit?usp=sharing"",""พะเยา!J274"")"),0)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IFERROR(__xludf.DUMMYFUNCTION("IMPORTRANGE(""https://docs.google.com/spreadsheets/d/11923uPwbBZFjjGgGUA6NLw09EwE0CqkOc4q9oUmW1yo/edit?usp=sharing"",""พะเยา!I275"")"),1000)</f>
        <v>1000</v>
      </c>
      <c r="J380" s="370">
        <f ca="1">IFERROR(__xludf.DUMMYFUNCTION("IMPORTRANGE(""https://docs.google.com/spreadsheets/d/11923uPwbBZFjjGgGUA6NLw09EwE0CqkOc4q9oUmW1yo/edit?usp=sharing"",""พะเยา!J275"")"),0)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IFERROR(__xludf.DUMMYFUNCTION("IMPORTRANGE(""https://docs.google.com/spreadsheets/d/11923uPwbBZFjjGgGUA6NLw09EwE0CqkOc4q9oUmW1yo/edit?usp=sharing"",""พะเยา!L275"")"),1028520)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IFERROR(__xludf.DUMMYFUNCTION("IMPORTRANGE(""https://docs.google.com/spreadsheets/d/11923uPwbBZFjjGgGUA6NLw09EwE0CqkOc4q9oUmW1yo/edit?usp=sharing"",""พะเยา!M275"")"),217240.2)</f>
        <v>217240.2</v>
      </c>
      <c r="O380" s="372">
        <f ca="1">+IF(L380&gt;0,N380*100/L380,0)</f>
        <v>21.121631081554078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IFERROR(__xludf.DUMMYFUNCTION("IMPORTRANGE(""https://docs.google.com/spreadsheets/d/11923uPwbBZFjjGgGUA6NLw09EwE0CqkOc4q9oUmW1yo/edit?usp=sharing"",""พะเยา!I276"")"),100)</f>
        <v>100</v>
      </c>
      <c r="J381" s="370">
        <f ca="1">IFERROR(__xludf.DUMMYFUNCTION("IMPORTRANGE(""https://docs.google.com/spreadsheets/d/11923uPwbBZFjjGgGUA6NLw09EwE0CqkOc4q9oUmW1yo/edit?usp=sharing"",""พะเยา!J276"")"),100)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IFERROR(__xludf.DUMMYFUNCTION("IMPORTRANGE(""https://docs.google.com/spreadsheets/d/11923uPwbBZFjjGgGUA6NLw09EwE0CqkOc4q9oUmW1yo/edit?usp=sharing"",""พะเยา!L277"")"),0)</f>
        <v>0</v>
      </c>
      <c r="M382" s="164"/>
      <c r="N382" s="164">
        <f ca="1">IFERROR(__xludf.DUMMYFUNCTION("IMPORTRANGE(""https://docs.google.com/spreadsheets/d/11923uPwbBZFjjGgGUA6NLw09EwE0CqkOc4q9oUmW1yo/edit?usp=sharing"",""พะเยา!M277"")"),0)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IFERROR(__xludf.DUMMYFUNCTION("IMPORTRANGE(""https://docs.google.com/spreadsheets/d/11923uPwbBZFjjGgGUA6NLw09EwE0CqkOc4q9oUmW1yo/edit?usp=sharing"",""พะเยา!L278"")"),1028520)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IFERROR(__xludf.DUMMYFUNCTION("IMPORTRANGE(""https://docs.google.com/spreadsheets/d/11923uPwbBZFjjGgGUA6NLw09EwE0CqkOc4q9oUmW1yo/edit?usp=sharing"",""พะเยา!M278"")"),217240.2)</f>
        <v>217240.2</v>
      </c>
      <c r="O383" s="165">
        <f t="shared" ca="1" si="109"/>
        <v>21.121631081554078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IFERROR(__xludf.DUMMYFUNCTION("IMPORTRANGE(""https://docs.google.com/spreadsheets/d/11923uPwbBZFjjGgGUA6NLw09EwE0CqkOc4q9oUmW1yo/edit?usp=sharing"",""พะเยา!L279"")"),0)</f>
        <v>0</v>
      </c>
      <c r="M384" s="168"/>
      <c r="N384" s="168">
        <f ca="1">IFERROR(__xludf.DUMMYFUNCTION("IMPORTRANGE(""https://docs.google.com/spreadsheets/d/11923uPwbBZFjjGgGUA6NLw09EwE0CqkOc4q9oUmW1yo/edit?usp=sharing"",""พะเยา!M279"")"),0)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IFERROR(__xludf.DUMMYFUNCTION("IMPORTRANGE(""https://docs.google.com/spreadsheets/d/11923uPwbBZFjjGgGUA6NLw09EwE0CqkOc4q9oUmW1yo/edit?usp=sharing"",""พะเยา!L280"")"),1028520)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IFERROR(__xludf.DUMMYFUNCTION("IMPORTRANGE(""https://docs.google.com/spreadsheets/d/11923uPwbBZFjjGgGUA6NLw09EwE0CqkOc4q9oUmW1yo/edit?usp=sharing"",""พะเยา!M280"")"),217240.2)</f>
        <v>217240.2</v>
      </c>
      <c r="O385" s="168">
        <f t="shared" ca="1" si="109"/>
        <v>21.121631081554078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IFERROR(__xludf.DUMMYFUNCTION("IMPORTRANGE(""https://docs.google.com/spreadsheets/d/11923uPwbBZFjjGgGUA6NLw09EwE0CqkOc4q9oUmW1yo/edit?usp=sharing"",""พะเยา!M281"")"),126280.2)</f>
        <v>126280.2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IFERROR(__xludf.DUMMYFUNCTION("IMPORTRANGE(""https://docs.google.com/spreadsheets/d/11923uPwbBZFjjGgGUA6NLw09EwE0CqkOc4q9oUmW1yo/edit?usp=sharing"",""พะเยา!M282"")"),0)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IFERROR(__xludf.DUMMYFUNCTION("IMPORTRANGE(""https://docs.google.com/spreadsheets/d/11923uPwbBZFjjGgGUA6NLw09EwE0CqkOc4q9oUmW1yo/edit?usp=sharing"",""พะเยา!M283"")"),67804)</f>
        <v>67804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IFERROR(__xludf.DUMMYFUNCTION("IMPORTRANGE(""https://docs.google.com/spreadsheets/d/11923uPwbBZFjjGgGUA6NLw09EwE0CqkOc4q9oUmW1yo/edit?usp=sharing"",""พะเยา!M284"")"),23156)</f>
        <v>23156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IFERROR(__xludf.DUMMYFUNCTION("IMPORTRANGE(""https://docs.google.com/spreadsheets/d/11923uPwbBZFjjGgGUA6NLw09EwE0CqkOc4q9oUmW1yo/edit?usp=sharing"",""พะเยา!J286"")"),0)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IFERROR(__xludf.DUMMYFUNCTION("IMPORTRANGE(""https://docs.google.com/spreadsheets/d/11923uPwbBZFjjGgGUA6NLw09EwE0CqkOc4q9oUmW1yo/edit?usp=sharing"",""พะเยา!J287"")"),1)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IFERROR(__xludf.DUMMYFUNCTION("IMPORTRANGE(""https://docs.google.com/spreadsheets/d/11923uPwbBZFjjGgGUA6NLw09EwE0CqkOc4q9oUmW1yo/edit?usp=sharing"",""พะเยา!J288"")"),1)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IFERROR(__xludf.DUMMYFUNCTION("IMPORTRANGE(""https://docs.google.com/spreadsheets/d/11923uPwbBZFjjGgGUA6NLw09EwE0CqkOc4q9oUmW1yo/edit?usp=sharing"",""พะเยา!J289"")"),1)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IFERROR(__xludf.DUMMYFUNCTION("IMPORTRANGE(""https://docs.google.com/spreadsheets/d/11923uPwbBZFjjGgGUA6NLw09EwE0CqkOc4q9oUmW1yo/edit?usp=sharing"",""พะเยา!I291"")"),100)</f>
        <v>100</v>
      </c>
      <c r="J396" s="197">
        <f ca="1">IFERROR(__xludf.DUMMYFUNCTION("IMPORTRANGE(""https://docs.google.com/spreadsheets/d/11923uPwbBZFjjGgGUA6NLw09EwE0CqkOc4q9oUmW1yo/edit?usp=sharing"",""พะเยา!J291"")"),100)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IFERROR(__xludf.DUMMYFUNCTION("IMPORTRANGE(""https://docs.google.com/spreadsheets/d/11923uPwbBZFjjGgGUA6NLw09EwE0CqkOc4q9oUmW1yo/edit?usp=sharing"",""พะเยา!I292"")"),1000)</f>
        <v>1000</v>
      </c>
      <c r="J397" s="197">
        <f ca="1">IFERROR(__xludf.DUMMYFUNCTION("IMPORTRANGE(""https://docs.google.com/spreadsheets/d/11923uPwbBZFjjGgGUA6NLw09EwE0CqkOc4q9oUmW1yo/edit?usp=sharing"",""พะเยา!J292"")"),0)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IFERROR(__xludf.DUMMYFUNCTION("IMPORTRANGE(""https://docs.google.com/spreadsheets/d/11923uPwbBZFjjGgGUA6NLw09EwE0CqkOc4q9oUmW1yo/edit?usp=sharing"",""พะเยา!I293"")"),100)</f>
        <v>100</v>
      </c>
      <c r="J398" s="197">
        <f ca="1">IFERROR(__xludf.DUMMYFUNCTION("IMPORTRANGE(""https://docs.google.com/spreadsheets/d/11923uPwbBZFjjGgGUA6NLw09EwE0CqkOc4q9oUmW1yo/edit?usp=sharing"",""พะเยา!J293"")"),0)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IFERROR(__xludf.DUMMYFUNCTION("IMPORTRANGE(""https://docs.google.com/spreadsheets/d/11923uPwbBZFjjGgGUA6NLw09EwE0CqkOc4q9oUmW1yo/edit?usp=sharing"",""พะเยา!J294"")"),0)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IFERROR(__xludf.DUMMYFUNCTION("IMPORTRANGE(""https://docs.google.com/spreadsheets/d/11923uPwbBZFjjGgGUA6NLw09EwE0CqkOc4q9oUmW1yo/edit?usp=sharing"",""พะเยา!J295"")"),0)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IFERROR(__xludf.DUMMYFUNCTION("IMPORTRANGE(""https://docs.google.com/spreadsheets/d/11923uPwbBZFjjGgGUA6NLw09EwE0CqkOc4q9oUmW1yo/edit?usp=sharing"",""พะเยา!I296"")"),261)</f>
        <v>261</v>
      </c>
      <c r="J401" s="370">
        <f ca="1">IFERROR(__xludf.DUMMYFUNCTION("IMPORTRANGE(""https://docs.google.com/spreadsheets/d/11923uPwbBZFjjGgGUA6NLw09EwE0CqkOc4q9oUmW1yo/edit?usp=sharing"",""พะเยา!J296"")"),261)</f>
        <v>261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IFERROR(__xludf.DUMMYFUNCTION("IMPORTRANGE(""https://docs.google.com/spreadsheets/d/11923uPwbBZFjjGgGUA6NLw09EwE0CqkOc4q9oUmW1yo/edit?usp=sharing"",""พะเยา!L296"")"),271920)</f>
        <v>271920</v>
      </c>
      <c r="M401" s="372"/>
      <c r="N401" s="372">
        <f ca="1">IFERROR(__xludf.DUMMYFUNCTION("IMPORTRANGE(""https://docs.google.com/spreadsheets/d/11923uPwbBZFjjGgGUA6NLw09EwE0CqkOc4q9oUmW1yo/edit?usp=sharing"",""พะเยา!M296"")"),179119)</f>
        <v>179119</v>
      </c>
      <c r="O401" s="372">
        <f ca="1">+IF(L401&gt;0,N401*100/L401,0)</f>
        <v>65.871947631656369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IFERROR(__xludf.DUMMYFUNCTION("IMPORTRANGE(""https://docs.google.com/spreadsheets/d/11923uPwbBZFjjGgGUA6NLw09EwE0CqkOc4q9oUmW1yo/edit?usp=sharing"",""พะเยา!I297"")"),87)</f>
        <v>87</v>
      </c>
      <c r="J402" s="370">
        <f ca="1">IFERROR(__xludf.DUMMYFUNCTION("IMPORTRANGE(""https://docs.google.com/spreadsheets/d/11923uPwbBZFjjGgGUA6NLw09EwE0CqkOc4q9oUmW1yo/edit?usp=sharing"",""พะเยา!J297"")"),87)</f>
        <v>87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IFERROR(__xludf.DUMMYFUNCTION("IMPORTRANGE(""https://docs.google.com/spreadsheets/d/11923uPwbBZFjjGgGUA6NLw09EwE0CqkOc4q9oUmW1yo/edit?usp=sharing"",""พะเยา!L298"")"),0)</f>
        <v>0</v>
      </c>
      <c r="M403" s="164"/>
      <c r="N403" s="168">
        <f ca="1">IFERROR(__xludf.DUMMYFUNCTION("IMPORTRANGE(""https://docs.google.com/spreadsheets/d/11923uPwbBZFjjGgGUA6NLw09EwE0CqkOc4q9oUmW1yo/edit?usp=sharing"",""พะเยา!M298"")"),0)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IFERROR(__xludf.DUMMYFUNCTION("IMPORTRANGE(""https://docs.google.com/spreadsheets/d/11923uPwbBZFjjGgGUA6NLw09EwE0CqkOc4q9oUmW1yo/edit?usp=sharing"",""พะเยา!L299"")"),271920)</f>
        <v>271920</v>
      </c>
      <c r="M404" s="165"/>
      <c r="N404" s="168">
        <f ca="1">IFERROR(__xludf.DUMMYFUNCTION("IMPORTRANGE(""https://docs.google.com/spreadsheets/d/11923uPwbBZFjjGgGUA6NLw09EwE0CqkOc4q9oUmW1yo/edit?usp=sharing"",""พะเยา!M299"")"),179119)</f>
        <v>179119</v>
      </c>
      <c r="O404" s="168">
        <f t="shared" ca="1" si="112"/>
        <v>65.871947631656369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IFERROR(__xludf.DUMMYFUNCTION("IMPORTRANGE(""https://docs.google.com/spreadsheets/d/11923uPwbBZFjjGgGUA6NLw09EwE0CqkOc4q9oUmW1yo/edit?usp=sharing"",""พะเยา!L300"")"),0)</f>
        <v>0</v>
      </c>
      <c r="M405" s="168"/>
      <c r="N405" s="168">
        <f ca="1">IFERROR(__xludf.DUMMYFUNCTION("IMPORTRANGE(""https://docs.google.com/spreadsheets/d/11923uPwbBZFjjGgGUA6NLw09EwE0CqkOc4q9oUmW1yo/edit?usp=sharing"",""พะเยา!M300"")"),0)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IFERROR(__xludf.DUMMYFUNCTION("IMPORTRANGE(""https://docs.google.com/spreadsheets/d/11923uPwbBZFjjGgGUA6NLw09EwE0CqkOc4q9oUmW1yo/edit?usp=sharing"",""พะเยา!L301"")"),271920)</f>
        <v>271920</v>
      </c>
      <c r="M406" s="168"/>
      <c r="N406" s="168">
        <f ca="1">IFERROR(__xludf.DUMMYFUNCTION("IMPORTRANGE(""https://docs.google.com/spreadsheets/d/11923uPwbBZFjjGgGUA6NLw09EwE0CqkOc4q9oUmW1yo/edit?usp=sharing"",""พะเยา!M301"")"),179119)</f>
        <v>179119</v>
      </c>
      <c r="O406" s="168">
        <f t="shared" ca="1" si="112"/>
        <v>65.871947631656369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IFERROR(__xludf.DUMMYFUNCTION("IMPORTRANGE(""https://docs.google.com/spreadsheets/d/11923uPwbBZFjjGgGUA6NLw09EwE0CqkOc4q9oUmW1yo/edit?usp=sharing"",""พะเยา!M302"")"),159539)</f>
        <v>159539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IFERROR(__xludf.DUMMYFUNCTION("IMPORTRANGE(""https://docs.google.com/spreadsheets/d/11923uPwbBZFjjGgGUA6NLw09EwE0CqkOc4q9oUmW1yo/edit?usp=sharing"",""พะเยา!M303"")"),0)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IFERROR(__xludf.DUMMYFUNCTION("IMPORTRANGE(""https://docs.google.com/spreadsheets/d/11923uPwbBZFjjGgGUA6NLw09EwE0CqkOc4q9oUmW1yo/edit?usp=sharing"",""พะเยา!M304"")"),0)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IFERROR(__xludf.DUMMYFUNCTION("IMPORTRANGE(""https://docs.google.com/spreadsheets/d/11923uPwbBZFjjGgGUA6NLw09EwE0CqkOc4q9oUmW1yo/edit?usp=sharing"",""พะเยา!M305"")"),19580)</f>
        <v>19580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IFERROR(__xludf.DUMMYFUNCTION("IMPORTRANGE(""https://docs.google.com/spreadsheets/d/11923uPwbBZFjjGgGUA6NLw09EwE0CqkOc4q9oUmW1yo/edit?usp=sharing"",""พะเยา!J307"")"),0)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IFERROR(__xludf.DUMMYFUNCTION("IMPORTRANGE(""https://docs.google.com/spreadsheets/d/11923uPwbBZFjjGgGUA6NLw09EwE0CqkOc4q9oUmW1yo/edit?usp=sharing"",""พะเยา!J308"")"),1)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IFERROR(__xludf.DUMMYFUNCTION("IMPORTRANGE(""https://docs.google.com/spreadsheets/d/11923uPwbBZFjjGgGUA6NLw09EwE0CqkOc4q9oUmW1yo/edit?usp=sharing"",""พะเยา!J309"")"),1)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IFERROR(__xludf.DUMMYFUNCTION("IMPORTRANGE(""https://docs.google.com/spreadsheets/d/11923uPwbBZFjjGgGUA6NLw09EwE0CqkOc4q9oUmW1yo/edit?usp=sharing"",""พะเยา!J310"")"),1)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IFERROR(__xludf.DUMMYFUNCTION("IMPORTRANGE(""https://docs.google.com/spreadsheets/d/11923uPwbBZFjjGgGUA6NLw09EwE0CqkOc4q9oUmW1yo/edit?usp=sharing"",""พะเยา!I311"")"),87)</f>
        <v>87</v>
      </c>
      <c r="J416" s="200">
        <f ca="1">IFERROR(__xludf.DUMMYFUNCTION("IMPORTRANGE(""https://docs.google.com/spreadsheets/d/11923uPwbBZFjjGgGUA6NLw09EwE0CqkOc4q9oUmW1yo/edit?usp=sharing"",""พะเยา!J311"")"),87)</f>
        <v>87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IFERROR(__xludf.DUMMYFUNCTION("IMPORTRANGE(""https://docs.google.com/spreadsheets/d/11923uPwbBZFjjGgGUA6NLw09EwE0CqkOc4q9oUmW1yo/edit?usp=sharing"",""พะเยา!I312"")"),20)</f>
        <v>20</v>
      </c>
      <c r="J417" s="391">
        <f ca="1">IFERROR(__xludf.DUMMYFUNCTION("IMPORTRANGE(""https://docs.google.com/spreadsheets/d/11923uPwbBZFjjGgGUA6NLw09EwE0CqkOc4q9oUmW1yo/edit?usp=sharing"",""พะเยา!J312"")"),20)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IFERROR(__xludf.DUMMYFUNCTION("IMPORTRANGE(""https://docs.google.com/spreadsheets/d/11923uPwbBZFjjGgGUA6NLw09EwE0CqkOc4q9oUmW1yo/edit?usp=sharing"",""พะเยา!I313"")"),60)</f>
        <v>60</v>
      </c>
      <c r="J418" s="392">
        <f ca="1">IFERROR(__xludf.DUMMYFUNCTION("IMPORTRANGE(""https://docs.google.com/spreadsheets/d/11923uPwbBZFjjGgGUA6NLw09EwE0CqkOc4q9oUmW1yo/edit?usp=sharing"",""พะเยา!J313"")"),60)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IFERROR(__xludf.DUMMYFUNCTION("IMPORTRANGE(""https://docs.google.com/spreadsheets/d/11923uPwbBZFjjGgGUA6NLw09EwE0CqkOc4q9oUmW1yo/edit?usp=sharing"",""พะเยา!I314"")"),20)</f>
        <v>20</v>
      </c>
      <c r="J419" s="393">
        <f ca="1">IFERROR(__xludf.DUMMYFUNCTION("IMPORTRANGE(""https://docs.google.com/spreadsheets/d/11923uPwbBZFjjGgGUA6NLw09EwE0CqkOc4q9oUmW1yo/edit?usp=sharing"",""พะเยา!J314"")"),20)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IFERROR(__xludf.DUMMYFUNCTION("IMPORTRANGE(""https://docs.google.com/spreadsheets/d/11923uPwbBZFjjGgGUA6NLw09EwE0CqkOc4q9oUmW1yo/edit?usp=sharing"",""พะเยา!I315"")"),20)</f>
        <v>20</v>
      </c>
      <c r="J420" s="393">
        <f ca="1">IFERROR(__xludf.DUMMYFUNCTION("IMPORTRANGE(""https://docs.google.com/spreadsheets/d/11923uPwbBZFjjGgGUA6NLw09EwE0CqkOc4q9oUmW1yo/edit?usp=sharing"",""พะเยา!J315"")"),20)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IFERROR(__xludf.DUMMYFUNCTION("IMPORTRANGE(""https://docs.google.com/spreadsheets/d/11923uPwbBZFjjGgGUA6NLw09EwE0CqkOc4q9oUmW1yo/edit?usp=sharing"",""พะเยา!I316"")"),50)</f>
        <v>50</v>
      </c>
      <c r="J421" s="391">
        <f ca="1">IFERROR(__xludf.DUMMYFUNCTION("IMPORTRANGE(""https://docs.google.com/spreadsheets/d/11923uPwbBZFjjGgGUA6NLw09EwE0CqkOc4q9oUmW1yo/edit?usp=sharing"",""พะเยา!J316"")"),50)</f>
        <v>50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IFERROR(__xludf.DUMMYFUNCTION("IMPORTRANGE(""https://docs.google.com/spreadsheets/d/11923uPwbBZFjjGgGUA6NLw09EwE0CqkOc4q9oUmW1yo/edit?usp=sharing"",""พะเยา!I317"")"),150)</f>
        <v>150</v>
      </c>
      <c r="J422" s="392">
        <f ca="1">IFERROR(__xludf.DUMMYFUNCTION("IMPORTRANGE(""https://docs.google.com/spreadsheets/d/11923uPwbBZFjjGgGUA6NLw09EwE0CqkOc4q9oUmW1yo/edit?usp=sharing"",""พะเยา!J317"")"),150)</f>
        <v>150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IFERROR(__xludf.DUMMYFUNCTION("IMPORTRANGE(""https://docs.google.com/spreadsheets/d/11923uPwbBZFjjGgGUA6NLw09EwE0CqkOc4q9oUmW1yo/edit?usp=sharing"",""พะเยา!I318"")"),50)</f>
        <v>50</v>
      </c>
      <c r="J423" s="393">
        <f ca="1">IFERROR(__xludf.DUMMYFUNCTION("IMPORTRANGE(""https://docs.google.com/spreadsheets/d/11923uPwbBZFjjGgGUA6NLw09EwE0CqkOc4q9oUmW1yo/edit?usp=sharing"",""พะเยา!J318"")"),50)</f>
        <v>50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IFERROR(__xludf.DUMMYFUNCTION("IMPORTRANGE(""https://docs.google.com/spreadsheets/d/11923uPwbBZFjjGgGUA6NLw09EwE0CqkOc4q9oUmW1yo/edit?usp=sharing"",""พะเยา!I319"")"),50)</f>
        <v>50</v>
      </c>
      <c r="J424" s="393">
        <f ca="1">IFERROR(__xludf.DUMMYFUNCTION("IMPORTRANGE(""https://docs.google.com/spreadsheets/d/11923uPwbBZFjjGgGUA6NLw09EwE0CqkOc4q9oUmW1yo/edit?usp=sharing"",""พะเยา!J319"")"),50)</f>
        <v>50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IFERROR(__xludf.DUMMYFUNCTION("IMPORTRANGE(""https://docs.google.com/spreadsheets/d/11923uPwbBZFjjGgGUA6NLw09EwE0CqkOc4q9oUmW1yo/edit?usp=sharing"",""พะเยา!I320"")"),50)</f>
        <v>50</v>
      </c>
      <c r="J425" s="393">
        <f ca="1">IFERROR(__xludf.DUMMYFUNCTION("IMPORTRANGE(""https://docs.google.com/spreadsheets/d/11923uPwbBZFjjGgGUA6NLw09EwE0CqkOc4q9oUmW1yo/edit?usp=sharing"",""พะเยา!J320"")"),50)</f>
        <v>50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IFERROR(__xludf.DUMMYFUNCTION("IMPORTRANGE(""https://docs.google.com/spreadsheets/d/11923uPwbBZFjjGgGUA6NLw09EwE0CqkOc4q9oUmW1yo/edit?usp=sharing"",""พะเยา!I321"")"),17)</f>
        <v>17</v>
      </c>
      <c r="J426" s="391">
        <f ca="1">IFERROR(__xludf.DUMMYFUNCTION("IMPORTRANGE(""https://docs.google.com/spreadsheets/d/11923uPwbBZFjjGgGUA6NLw09EwE0CqkOc4q9oUmW1yo/edit?usp=sharing"",""พะเยา!J321"")"),17)</f>
        <v>17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IFERROR(__xludf.DUMMYFUNCTION("IMPORTRANGE(""https://docs.google.com/spreadsheets/d/11923uPwbBZFjjGgGUA6NLw09EwE0CqkOc4q9oUmW1yo/edit?usp=sharing"",""พะเยา!I322"")"),51)</f>
        <v>51</v>
      </c>
      <c r="J427" s="392">
        <f ca="1">IFERROR(__xludf.DUMMYFUNCTION("IMPORTRANGE(""https://docs.google.com/spreadsheets/d/11923uPwbBZFjjGgGUA6NLw09EwE0CqkOc4q9oUmW1yo/edit?usp=sharing"",""พะเยา!J322"")"),51)</f>
        <v>51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IFERROR(__xludf.DUMMYFUNCTION("IMPORTRANGE(""https://docs.google.com/spreadsheets/d/11923uPwbBZFjjGgGUA6NLw09EwE0CqkOc4q9oUmW1yo/edit?usp=sharing"",""พะเยา!I323"")"),17)</f>
        <v>17</v>
      </c>
      <c r="J428" s="393">
        <f ca="1">IFERROR(__xludf.DUMMYFUNCTION("IMPORTRANGE(""https://docs.google.com/spreadsheets/d/11923uPwbBZFjjGgGUA6NLw09EwE0CqkOc4q9oUmW1yo/edit?usp=sharing"",""พะเยา!J323"")"),17)</f>
        <v>17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IFERROR(__xludf.DUMMYFUNCTION("IMPORTRANGE(""https://docs.google.com/spreadsheets/d/11923uPwbBZFjjGgGUA6NLw09EwE0CqkOc4q9oUmW1yo/edit?usp=sharing"",""พะเยา!I324"")"),17)</f>
        <v>17</v>
      </c>
      <c r="J429" s="393">
        <f ca="1">IFERROR(__xludf.DUMMYFUNCTION("IMPORTRANGE(""https://docs.google.com/spreadsheets/d/11923uPwbBZFjjGgGUA6NLw09EwE0CqkOc4q9oUmW1yo/edit?usp=sharing"",""พะเยา!J324"")"),17)</f>
        <v>17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IFERROR(__xludf.DUMMYFUNCTION("IMPORTRANGE(""https://docs.google.com/spreadsheets/d/11923uPwbBZFjjGgGUA6NLw09EwE0CqkOc4q9oUmW1yo/edit?usp=sharing"",""พะเยา!I325"")"),70)</f>
        <v>70</v>
      </c>
      <c r="J430" s="391">
        <f ca="1">IFERROR(__xludf.DUMMYFUNCTION("IMPORTRANGE(""https://docs.google.com/spreadsheets/d/11923uPwbBZFjjGgGUA6NLw09EwE0CqkOc4q9oUmW1yo/edit?usp=sharing"",""พะเยา!J325"")"),0)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IFERROR(__xludf.DUMMYFUNCTION("IMPORTRANGE(""https://docs.google.com/spreadsheets/d/11923uPwbBZFjjGgGUA6NLw09EwE0CqkOc4q9oUmW1yo/edit?usp=sharing"",""พะเยา!I326"")"),20)</f>
        <v>20</v>
      </c>
      <c r="J431" s="393">
        <f ca="1">IFERROR(__xludf.DUMMYFUNCTION("IMPORTRANGE(""https://docs.google.com/spreadsheets/d/11923uPwbBZFjjGgGUA6NLw09EwE0CqkOc4q9oUmW1yo/edit?usp=sharing"",""พะเยา!J326"")"),0)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IFERROR(__xludf.DUMMYFUNCTION("IMPORTRANGE(""https://docs.google.com/spreadsheets/d/11923uPwbBZFjjGgGUA6NLw09EwE0CqkOc4q9oUmW1yo/edit?usp=sharing"",""พะเยา!I327"")"),50)</f>
        <v>50</v>
      </c>
      <c r="J432" s="393">
        <f ca="1">IFERROR(__xludf.DUMMYFUNCTION("IMPORTRANGE(""https://docs.google.com/spreadsheets/d/11923uPwbBZFjjGgGUA6NLw09EwE0CqkOc4q9oUmW1yo/edit?usp=sharing"",""พะเยา!J327"")"),0)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IFERROR(__xludf.DUMMYFUNCTION("IMPORTRANGE(""https://docs.google.com/spreadsheets/d/11923uPwbBZFjjGgGUA6NLw09EwE0CqkOc4q9oUmW1yo/edit?usp=sharing"",""พะเยา!J328"")"),0)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IFERROR(__xludf.DUMMYFUNCTION("IMPORTRANGE(""https://docs.google.com/spreadsheets/d/11923uPwbBZFjjGgGUA6NLw09EwE0CqkOc4q9oUmW1yo/edit?usp=sharing"",""พะเยา!J329"")"),0)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IFERROR(__xludf.DUMMYFUNCTION("IMPORTRANGE(""https://docs.google.com/spreadsheets/d/11923uPwbBZFjjGgGUA6NLw09EwE0CqkOc4q9oUmW1yo/edit?usp=sharing"",""พะเยา!I330"")"),43)</f>
        <v>43</v>
      </c>
      <c r="J435" s="409">
        <f ca="1">IFERROR(__xludf.DUMMYFUNCTION("IMPORTRANGE(""https://docs.google.com/spreadsheets/d/11923uPwbBZFjjGgGUA6NLw09EwE0CqkOc4q9oUmW1yo/edit?usp=sharing"",""พะเยา!J330"")"),43)</f>
        <v>43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IFERROR(__xludf.DUMMYFUNCTION("IMPORTRANGE(""https://docs.google.com/spreadsheets/d/11923uPwbBZFjjGgGUA6NLw09EwE0CqkOc4q9oUmW1yo/edit?usp=sharing"",""พะเยา!L330"")"),150000)</f>
        <v>150000</v>
      </c>
      <c r="M435" s="411"/>
      <c r="N435" s="411">
        <f ca="1">IFERROR(__xludf.DUMMYFUNCTION("IMPORTRANGE(""https://docs.google.com/spreadsheets/d/11923uPwbBZFjjGgGUA6NLw09EwE0CqkOc4q9oUmW1yo/edit?usp=sharing"",""พะเยา!M330"")"),76896)</f>
        <v>76896</v>
      </c>
      <c r="O435" s="411">
        <f t="shared" ref="O435:O439" ca="1" si="114">+IF(L435&gt;0,N435*100/L435,0)</f>
        <v>51.264000000000003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IFERROR(__xludf.DUMMYFUNCTION("IMPORTRANGE(""https://docs.google.com/spreadsheets/d/11923uPwbBZFjjGgGUA6NLw09EwE0CqkOc4q9oUmW1yo/edit?usp=sharing"",""พะเยา!L331"")"),0)</f>
        <v>0</v>
      </c>
      <c r="M436" s="164"/>
      <c r="N436" s="168">
        <f ca="1">IFERROR(__xludf.DUMMYFUNCTION("IMPORTRANGE(""https://docs.google.com/spreadsheets/d/11923uPwbBZFjjGgGUA6NLw09EwE0CqkOc4q9oUmW1yo/edit?usp=sharing"",""พะเยา!M331"")"),0)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IFERROR(__xludf.DUMMYFUNCTION("IMPORTRANGE(""https://docs.google.com/spreadsheets/d/11923uPwbBZFjjGgGUA6NLw09EwE0CqkOc4q9oUmW1yo/edit?usp=sharing"",""พะเยา!L332"")"),150000)</f>
        <v>150000</v>
      </c>
      <c r="M437" s="165"/>
      <c r="N437" s="168">
        <f ca="1">IFERROR(__xludf.DUMMYFUNCTION("IMPORTRANGE(""https://docs.google.com/spreadsheets/d/11923uPwbBZFjjGgGUA6NLw09EwE0CqkOc4q9oUmW1yo/edit?usp=sharing"",""พะเยา!M332"")"),76896)</f>
        <v>76896</v>
      </c>
      <c r="O437" s="168">
        <f t="shared" ca="1" si="114"/>
        <v>51.264000000000003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IFERROR(__xludf.DUMMYFUNCTION("IMPORTRANGE(""https://docs.google.com/spreadsheets/d/11923uPwbBZFjjGgGUA6NLw09EwE0CqkOc4q9oUmW1yo/edit?usp=sharing"",""พะเยา!L333"")"),0)</f>
        <v>0</v>
      </c>
      <c r="M438" s="168"/>
      <c r="N438" s="168">
        <f ca="1">IFERROR(__xludf.DUMMYFUNCTION("IMPORTRANGE(""https://docs.google.com/spreadsheets/d/11923uPwbBZFjjGgGUA6NLw09EwE0CqkOc4q9oUmW1yo/edit?usp=sharing"",""พะเยา!M333"")"),0)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IFERROR(__xludf.DUMMYFUNCTION("IMPORTRANGE(""https://docs.google.com/spreadsheets/d/11923uPwbBZFjjGgGUA6NLw09EwE0CqkOc4q9oUmW1yo/edit?usp=sharing"",""พะเยา!L334"")"),150000)</f>
        <v>150000</v>
      </c>
      <c r="M439" s="168"/>
      <c r="N439" s="168">
        <f ca="1">IFERROR(__xludf.DUMMYFUNCTION("IMPORTRANGE(""https://docs.google.com/spreadsheets/d/11923uPwbBZFjjGgGUA6NLw09EwE0CqkOc4q9oUmW1yo/edit?usp=sharing"",""พะเยา!M334"")"),76896)</f>
        <v>76896</v>
      </c>
      <c r="O439" s="168">
        <f t="shared" ca="1" si="114"/>
        <v>51.264000000000003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IFERROR(__xludf.DUMMYFUNCTION("IMPORTRANGE(""https://docs.google.com/spreadsheets/d/11923uPwbBZFjjGgGUA6NLw09EwE0CqkOc4q9oUmW1yo/edit?usp=sharing"",""พะเยา!M335"")"),62958)</f>
        <v>62958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IFERROR(__xludf.DUMMYFUNCTION("IMPORTRANGE(""https://docs.google.com/spreadsheets/d/11923uPwbBZFjjGgGUA6NLw09EwE0CqkOc4q9oUmW1yo/edit?usp=sharing"",""พะเยา!M336"")"),0)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IFERROR(__xludf.DUMMYFUNCTION("IMPORTRANGE(""https://docs.google.com/spreadsheets/d/11923uPwbBZFjjGgGUA6NLw09EwE0CqkOc4q9oUmW1yo/edit?usp=sharing"",""พะเยา!M337"")"),0)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IFERROR(__xludf.DUMMYFUNCTION("IMPORTRANGE(""https://docs.google.com/spreadsheets/d/11923uPwbBZFjjGgGUA6NLw09EwE0CqkOc4q9oUmW1yo/edit?usp=sharing"",""พะเยา!M338"")"),13938)</f>
        <v>13938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IFERROR(__xludf.DUMMYFUNCTION("IMPORTRANGE(""https://docs.google.com/spreadsheets/d/11923uPwbBZFjjGgGUA6NLw09EwE0CqkOc4q9oUmW1yo/edit?usp=sharing"",""พะเยา!J340"")"),0)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IFERROR(__xludf.DUMMYFUNCTION("IMPORTRANGE(""https://docs.google.com/spreadsheets/d/11923uPwbBZFjjGgGUA6NLw09EwE0CqkOc4q9oUmW1yo/edit?usp=sharing"",""พะเยา!J341"")"),1)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IFERROR(__xludf.DUMMYFUNCTION("IMPORTRANGE(""https://docs.google.com/spreadsheets/d/11923uPwbBZFjjGgGUA6NLw09EwE0CqkOc4q9oUmW1yo/edit?usp=sharing"",""พะเยา!J342"")"),1)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IFERROR(__xludf.DUMMYFUNCTION("IMPORTRANGE(""https://docs.google.com/spreadsheets/d/11923uPwbBZFjjGgGUA6NLw09EwE0CqkOc4q9oUmW1yo/edit?usp=sharing"",""พะเยา!J343"")"),1)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IFERROR(__xludf.DUMMYFUNCTION("IMPORTRANGE(""https://docs.google.com/spreadsheets/d/11923uPwbBZFjjGgGUA6NLw09EwE0CqkOc4q9oUmW1yo/edit?usp=sharing"",""พะเยา!I344"")"),43)</f>
        <v>43</v>
      </c>
      <c r="J449" s="200">
        <f ca="1">IFERROR(__xludf.DUMMYFUNCTION("IMPORTRANGE(""https://docs.google.com/spreadsheets/d/11923uPwbBZFjjGgGUA6NLw09EwE0CqkOc4q9oUmW1yo/edit?usp=sharing"",""พะเยา!J344"")"),43)</f>
        <v>43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IFERROR(__xludf.DUMMYFUNCTION("IMPORTRANGE(""https://docs.google.com/spreadsheets/d/11923uPwbBZFjjGgGUA6NLw09EwE0CqkOc4q9oUmW1yo/edit?usp=sharing"",""พะเยา!I345"")"),43)</f>
        <v>43</v>
      </c>
      <c r="J450" s="188">
        <f ca="1">IFERROR(__xludf.DUMMYFUNCTION("IMPORTRANGE(""https://docs.google.com/spreadsheets/d/11923uPwbBZFjjGgGUA6NLw09EwE0CqkOc4q9oUmW1yo/edit?usp=sharing"",""พะเยา!J345"")"),43)</f>
        <v>43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IFERROR(__xludf.DUMMYFUNCTION("IMPORTRANGE(""https://docs.google.com/spreadsheets/d/11923uPwbBZFjjGgGUA6NLw09EwE0CqkOc4q9oUmW1yo/edit?usp=sharing"",""พะเยา!I346"")"),0)</f>
        <v>0</v>
      </c>
      <c r="J451" s="187">
        <f ca="1">IFERROR(__xludf.DUMMYFUNCTION("IMPORTRANGE(""https://docs.google.com/spreadsheets/d/11923uPwbBZFjjGgGUA6NLw09EwE0CqkOc4q9oUmW1yo/edit?usp=sharing"",""พะเยา!J346"")"),0)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IFERROR(__xludf.DUMMYFUNCTION("IMPORTRANGE(""https://docs.google.com/spreadsheets/d/11923uPwbBZFjjGgGUA6NLw09EwE0CqkOc4q9oUmW1yo/edit?usp=sharing"",""พะเยา!I347"")"),0)</f>
        <v>0</v>
      </c>
      <c r="J452" s="187">
        <f ca="1">IFERROR(__xludf.DUMMYFUNCTION("IMPORTRANGE(""https://docs.google.com/spreadsheets/d/11923uPwbBZFjjGgGUA6NLw09EwE0CqkOc4q9oUmW1yo/edit?usp=sharing"",""พะเยา!J347"")"),0)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IFERROR(__xludf.DUMMYFUNCTION("IMPORTRANGE(""https://docs.google.com/spreadsheets/d/11923uPwbBZFjjGgGUA6NLw09EwE0CqkOc4q9oUmW1yo/edit?usp=sharing"",""พะเยา!J348"")"),0)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IFERROR(__xludf.DUMMYFUNCTION("IMPORTRANGE(""https://docs.google.com/spreadsheets/d/11923uPwbBZFjjGgGUA6NLw09EwE0CqkOc4q9oUmW1yo/edit?usp=sharing"",""พะเยา!J349"")"),0)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IFERROR(__xludf.DUMMYFUNCTION("IMPORTRANGE(""https://docs.google.com/spreadsheets/d/11923uPwbBZFjjGgGUA6NLw09EwE0CqkOc4q9oUmW1yo/edit?usp=sharing"",""พะเยา!I350"")"),31127)</f>
        <v>31127</v>
      </c>
      <c r="J455" s="370">
        <f ca="1">IFERROR(__xludf.DUMMYFUNCTION("IMPORTRANGE(""https://docs.google.com/spreadsheets/d/11923uPwbBZFjjGgGUA6NLw09EwE0CqkOc4q9oUmW1yo/edit?usp=sharing"",""พะเยา!J350"")"),0)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IFERROR(__xludf.DUMMYFUNCTION("IMPORTRANGE(""https://docs.google.com/spreadsheets/d/11923uPwbBZFjjGgGUA6NLw09EwE0CqkOc4q9oUmW1yo/edit?usp=sharing"",""พะเยา!L350"")"),403546)</f>
        <v>403546</v>
      </c>
      <c r="M455" s="372"/>
      <c r="N455" s="372">
        <f ca="1">IFERROR(__xludf.DUMMYFUNCTION("IMPORTRANGE(""https://docs.google.com/spreadsheets/d/11923uPwbBZFjjGgGUA6NLw09EwE0CqkOc4q9oUmW1yo/edit?usp=sharing"",""พะเยา!M350"")"),221403.85)</f>
        <v>221403.85</v>
      </c>
      <c r="O455" s="372">
        <f t="shared" ref="O455:O459" ca="1" si="116">+IF(L455&gt;0,N455*100/L455,0)</f>
        <v>54.864587928018118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IFERROR(__xludf.DUMMYFUNCTION("IMPORTRANGE(""https://docs.google.com/spreadsheets/d/11923uPwbBZFjjGgGUA6NLw09EwE0CqkOc4q9oUmW1yo/edit?usp=sharing"",""พะเยา!L351"")"),0)</f>
        <v>0</v>
      </c>
      <c r="M456" s="164"/>
      <c r="N456" s="168">
        <f ca="1">IFERROR(__xludf.DUMMYFUNCTION("IMPORTRANGE(""https://docs.google.com/spreadsheets/d/11923uPwbBZFjjGgGUA6NLw09EwE0CqkOc4q9oUmW1yo/edit?usp=sharing"",""พะเยา!M351"")"),0)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IFERROR(__xludf.DUMMYFUNCTION("IMPORTRANGE(""https://docs.google.com/spreadsheets/d/11923uPwbBZFjjGgGUA6NLw09EwE0CqkOc4q9oUmW1yo/edit?usp=sharing"",""พะเยา!L352"")"),403546)</f>
        <v>403546</v>
      </c>
      <c r="M457" s="165"/>
      <c r="N457" s="168">
        <f ca="1">IFERROR(__xludf.DUMMYFUNCTION("IMPORTRANGE(""https://docs.google.com/spreadsheets/d/11923uPwbBZFjjGgGUA6NLw09EwE0CqkOc4q9oUmW1yo/edit?usp=sharing"",""พะเยา!M352"")"),221403.85)</f>
        <v>221403.85</v>
      </c>
      <c r="O457" s="168">
        <f t="shared" ca="1" si="116"/>
        <v>54.864587928018118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IFERROR(__xludf.DUMMYFUNCTION("IMPORTRANGE(""https://docs.google.com/spreadsheets/d/11923uPwbBZFjjGgGUA6NLw09EwE0CqkOc4q9oUmW1yo/edit?usp=sharing"",""พะเยา!L353"")"),0)</f>
        <v>0</v>
      </c>
      <c r="M458" s="168"/>
      <c r="N458" s="168">
        <f ca="1">IFERROR(__xludf.DUMMYFUNCTION("IMPORTRANGE(""https://docs.google.com/spreadsheets/d/11923uPwbBZFjjGgGUA6NLw09EwE0CqkOc4q9oUmW1yo/edit?usp=sharing"",""พะเยา!M353"")"),0)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IFERROR(__xludf.DUMMYFUNCTION("IMPORTRANGE(""https://docs.google.com/spreadsheets/d/11923uPwbBZFjjGgGUA6NLw09EwE0CqkOc4q9oUmW1yo/edit?usp=sharing"",""พะเยา!L354"")"),403546)</f>
        <v>403546</v>
      </c>
      <c r="M459" s="168"/>
      <c r="N459" s="168">
        <f ca="1">IFERROR(__xludf.DUMMYFUNCTION("IMPORTRANGE(""https://docs.google.com/spreadsheets/d/11923uPwbBZFjjGgGUA6NLw09EwE0CqkOc4q9oUmW1yo/edit?usp=sharing"",""พะเยา!M354"")"),221403.85)</f>
        <v>221403.85</v>
      </c>
      <c r="O459" s="168">
        <f t="shared" ca="1" si="116"/>
        <v>54.864587928018118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IFERROR(__xludf.DUMMYFUNCTION("IMPORTRANGE(""https://docs.google.com/spreadsheets/d/11923uPwbBZFjjGgGUA6NLw09EwE0CqkOc4q9oUmW1yo/edit?usp=sharing"",""พะเยา!M355"")"),0)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IFERROR(__xludf.DUMMYFUNCTION("IMPORTRANGE(""https://docs.google.com/spreadsheets/d/11923uPwbBZFjjGgGUA6NLw09EwE0CqkOc4q9oUmW1yo/edit?usp=sharing"",""พะเยา!M356"")"),0)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IFERROR(__xludf.DUMMYFUNCTION("IMPORTRANGE(""https://docs.google.com/spreadsheets/d/11923uPwbBZFjjGgGUA6NLw09EwE0CqkOc4q9oUmW1yo/edit?usp=sharing"",""พะเยา!M357"")"),72619.35)</f>
        <v>72619.350000000006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IFERROR(__xludf.DUMMYFUNCTION("IMPORTRANGE(""https://docs.google.com/spreadsheets/d/11923uPwbBZFjjGgGUA6NLw09EwE0CqkOc4q9oUmW1yo/edit?usp=sharing"",""พะเยา!M358"")"),148784.5)</f>
        <v>148784.5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IFERROR(__xludf.DUMMYFUNCTION("IMPORTRANGE(""https://docs.google.com/spreadsheets/d/11923uPwbBZFjjGgGUA6NLw09EwE0CqkOc4q9oUmW1yo/edit?usp=sharing"",""พะเยา!I359"")"),31127)</f>
        <v>31127</v>
      </c>
      <c r="J464" s="267">
        <f ca="1">IFERROR(__xludf.DUMMYFUNCTION("IMPORTRANGE(""https://docs.google.com/spreadsheets/d/11923uPwbBZFjjGgGUA6NLw09EwE0CqkOc4q9oUmW1yo/edit?usp=sharing"",""พะเยา!J359"")"),0)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IFERROR(__xludf.DUMMYFUNCTION("IMPORTRANGE(""https://docs.google.com/spreadsheets/d/11923uPwbBZFjjGgGUA6NLw09EwE0CqkOc4q9oUmW1yo/edit?usp=sharing"",""พะเยา!I360"")"),31127)</f>
        <v>31127</v>
      </c>
      <c r="J465" s="420">
        <f ca="1">IFERROR(__xludf.DUMMYFUNCTION("IMPORTRANGE(""https://docs.google.com/spreadsheets/d/11923uPwbBZFjjGgGUA6NLw09EwE0CqkOc4q9oUmW1yo/edit?usp=sharing"",""พะเยา!J360"")"),31127)</f>
        <v>31127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IFERROR(__xludf.DUMMYFUNCTION("IMPORTRANGE(""https://docs.google.com/spreadsheets/d/11923uPwbBZFjjGgGUA6NLw09EwE0CqkOc4q9oUmW1yo/edit?usp=sharing"",""พะเยา!I361"")"),5512)</f>
        <v>5512</v>
      </c>
      <c r="J466" s="420">
        <f ca="1">IFERROR(__xludf.DUMMYFUNCTION("IMPORTRANGE(""https://docs.google.com/spreadsheets/d/11923uPwbBZFjjGgGUA6NLw09EwE0CqkOc4q9oUmW1yo/edit?usp=sharing"",""พะเยา!J361"")"),5512)</f>
        <v>5512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IFERROR(__xludf.DUMMYFUNCTION("IMPORTRANGE(""https://docs.google.com/spreadsheets/d/11923uPwbBZFjjGgGUA6NLw09EwE0CqkOc4q9oUmW1yo/edit?usp=sharing"",""พะเยา!I362"")"),0)</f>
        <v>0</v>
      </c>
      <c r="J467" s="188">
        <f ca="1">IFERROR(__xludf.DUMMYFUNCTION("IMPORTRANGE(""https://docs.google.com/spreadsheets/d/11923uPwbBZFjjGgGUA6NLw09EwE0CqkOc4q9oUmW1yo/edit?usp=sharing"",""พะเยา!J362"")"),22933)</f>
        <v>22933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IFERROR(__xludf.DUMMYFUNCTION("IMPORTRANGE(""https://docs.google.com/spreadsheets/d/11923uPwbBZFjjGgGUA6NLw09EwE0CqkOc4q9oUmW1yo/edit?usp=sharing"",""พะเยา!I363"")"),0)</f>
        <v>0</v>
      </c>
      <c r="J468" s="188">
        <f ca="1">IFERROR(__xludf.DUMMYFUNCTION("IMPORTRANGE(""https://docs.google.com/spreadsheets/d/11923uPwbBZFjjGgGUA6NLw09EwE0CqkOc4q9oUmW1yo/edit?usp=sharing"",""พะเยา!J363"")"),4298)</f>
        <v>4298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IFERROR(__xludf.DUMMYFUNCTION("IMPORTRANGE(""https://docs.google.com/spreadsheets/d/11923uPwbBZFjjGgGUA6NLw09EwE0CqkOc4q9oUmW1yo/edit?usp=sharing"",""พะเยา!I364"")"),0)</f>
        <v>0</v>
      </c>
      <c r="J469" s="188">
        <f ca="1">IFERROR(__xludf.DUMMYFUNCTION("IMPORTRANGE(""https://docs.google.com/spreadsheets/d/11923uPwbBZFjjGgGUA6NLw09EwE0CqkOc4q9oUmW1yo/edit?usp=sharing"",""พะเยา!J364"")"),7504)</f>
        <v>7504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IFERROR(__xludf.DUMMYFUNCTION("IMPORTRANGE(""https://docs.google.com/spreadsheets/d/11923uPwbBZFjjGgGUA6NLw09EwE0CqkOc4q9oUmW1yo/edit?usp=sharing"",""พะเยา!I365"")"),0)</f>
        <v>0</v>
      </c>
      <c r="J470" s="188">
        <f ca="1">IFERROR(__xludf.DUMMYFUNCTION("IMPORTRANGE(""https://docs.google.com/spreadsheets/d/11923uPwbBZFjjGgGUA6NLw09EwE0CqkOc4q9oUmW1yo/edit?usp=sharing"",""พะเยา!J365"")"),1088)</f>
        <v>1088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IFERROR(__xludf.DUMMYFUNCTION("IMPORTRANGE(""https://docs.google.com/spreadsheets/d/11923uPwbBZFjjGgGUA6NLw09EwE0CqkOc4q9oUmW1yo/edit?usp=sharing"",""พะเยา!I366"")"),0)</f>
        <v>0</v>
      </c>
      <c r="J471" s="188">
        <f ca="1">IFERROR(__xludf.DUMMYFUNCTION("IMPORTRANGE(""https://docs.google.com/spreadsheets/d/11923uPwbBZFjjGgGUA6NLw09EwE0CqkOc4q9oUmW1yo/edit?usp=sharing"",""พะเยา!J366"")"),690)</f>
        <v>690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IFERROR(__xludf.DUMMYFUNCTION("IMPORTRANGE(""https://docs.google.com/spreadsheets/d/11923uPwbBZFjjGgGUA6NLw09EwE0CqkOc4q9oUmW1yo/edit?usp=sharing"",""พะเยา!I367"")"),0)</f>
        <v>0</v>
      </c>
      <c r="J472" s="188">
        <f ca="1">IFERROR(__xludf.DUMMYFUNCTION("IMPORTRANGE(""https://docs.google.com/spreadsheets/d/11923uPwbBZFjjGgGUA6NLw09EwE0CqkOc4q9oUmW1yo/edit?usp=sharing"",""พะเยา!J367"")"),126)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IFERROR(__xludf.DUMMYFUNCTION("IMPORTRANGE(""https://docs.google.com/spreadsheets/d/11923uPwbBZFjjGgGUA6NLw09EwE0CqkOc4q9oUmW1yo/edit?usp=sharing"",""พะเยา!I368"")"),31127)</f>
        <v>31127</v>
      </c>
      <c r="J473" s="420">
        <f ca="1">IFERROR(__xludf.DUMMYFUNCTION("IMPORTRANGE(""https://docs.google.com/spreadsheets/d/11923uPwbBZFjjGgGUA6NLw09EwE0CqkOc4q9oUmW1yo/edit?usp=sharing"",""พะเยา!J368"")"),31126)</f>
        <v>31126</v>
      </c>
      <c r="K473" s="201">
        <f t="shared" ca="1" si="117"/>
        <v>99.996787355029397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IFERROR(__xludf.DUMMYFUNCTION("IMPORTRANGE(""https://docs.google.com/spreadsheets/d/11923uPwbBZFjjGgGUA6NLw09EwE0CqkOc4q9oUmW1yo/edit?usp=sharing"",""พะเยา!I369"")"),5512)</f>
        <v>5512</v>
      </c>
      <c r="J474" s="420">
        <f ca="1">IFERROR(__xludf.DUMMYFUNCTION("IMPORTRANGE(""https://docs.google.com/spreadsheets/d/11923uPwbBZFjjGgGUA6NLw09EwE0CqkOc4q9oUmW1yo/edit?usp=sharing"",""พะเยา!J369"")"),5512)</f>
        <v>5512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IFERROR(__xludf.DUMMYFUNCTION("IMPORTRANGE(""https://docs.google.com/spreadsheets/d/11923uPwbBZFjjGgGUA6NLw09EwE0CqkOc4q9oUmW1yo/edit?usp=sharing"",""พะเยา!I370"")"),0)</f>
        <v>0</v>
      </c>
      <c r="J475" s="188">
        <f ca="1">IFERROR(__xludf.DUMMYFUNCTION("IMPORTRANGE(""https://docs.google.com/spreadsheets/d/11923uPwbBZFjjGgGUA6NLw09EwE0CqkOc4q9oUmW1yo/edit?usp=sharing"",""พะเยา!J370"")"),23921)</f>
        <v>23921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IFERROR(__xludf.DUMMYFUNCTION("IMPORTRANGE(""https://docs.google.com/spreadsheets/d/11923uPwbBZFjjGgGUA6NLw09EwE0CqkOc4q9oUmW1yo/edit?usp=sharing"",""พะเยา!I371"")"),0)</f>
        <v>0</v>
      </c>
      <c r="J476" s="188">
        <f ca="1">IFERROR(__xludf.DUMMYFUNCTION("IMPORTRANGE(""https://docs.google.com/spreadsheets/d/11923uPwbBZFjjGgGUA6NLw09EwE0CqkOc4q9oUmW1yo/edit?usp=sharing"",""พะเยา!J371"")"),4453)</f>
        <v>4453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IFERROR(__xludf.DUMMYFUNCTION("IMPORTRANGE(""https://docs.google.com/spreadsheets/d/11923uPwbBZFjjGgGUA6NLw09EwE0CqkOc4q9oUmW1yo/edit?usp=sharing"",""พะเยา!I372"")"),0)</f>
        <v>0</v>
      </c>
      <c r="J477" s="188">
        <f ca="1">IFERROR(__xludf.DUMMYFUNCTION("IMPORTRANGE(""https://docs.google.com/spreadsheets/d/11923uPwbBZFjjGgGUA6NLw09EwE0CqkOc4q9oUmW1yo/edit?usp=sharing"",""พะเยา!J372"")"),6752)</f>
        <v>6752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IFERROR(__xludf.DUMMYFUNCTION("IMPORTRANGE(""https://docs.google.com/spreadsheets/d/11923uPwbBZFjjGgGUA6NLw09EwE0CqkOc4q9oUmW1yo/edit?usp=sharing"",""พะเยา!I373"")"),0)</f>
        <v>0</v>
      </c>
      <c r="J478" s="188">
        <f ca="1">IFERROR(__xludf.DUMMYFUNCTION("IMPORTRANGE(""https://docs.google.com/spreadsheets/d/11923uPwbBZFjjGgGUA6NLw09EwE0CqkOc4q9oUmW1yo/edit?usp=sharing"",""พะเยา!J373"")"),989)</f>
        <v>989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IFERROR(__xludf.DUMMYFUNCTION("IMPORTRANGE(""https://docs.google.com/spreadsheets/d/11923uPwbBZFjjGgGUA6NLw09EwE0CqkOc4q9oUmW1yo/edit?usp=sharing"",""พะเยา!I374"")"),0)</f>
        <v>0</v>
      </c>
      <c r="J479" s="188">
        <f ca="1">IFERROR(__xludf.DUMMYFUNCTION("IMPORTRANGE(""https://docs.google.com/spreadsheets/d/11923uPwbBZFjjGgGUA6NLw09EwE0CqkOc4q9oUmW1yo/edit?usp=sharing"",""พะเยา!J374"")"),453)</f>
        <v>453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IFERROR(__xludf.DUMMYFUNCTION("IMPORTRANGE(""https://docs.google.com/spreadsheets/d/11923uPwbBZFjjGgGUA6NLw09EwE0CqkOc4q9oUmW1yo/edit?usp=sharing"",""พะเยา!I375"")"),0)</f>
        <v>0</v>
      </c>
      <c r="J480" s="188">
        <f ca="1">IFERROR(__xludf.DUMMYFUNCTION("IMPORTRANGE(""https://docs.google.com/spreadsheets/d/11923uPwbBZFjjGgGUA6NLw09EwE0CqkOc4q9oUmW1yo/edit?usp=sharing"",""พะเยา!J375"")"),70)</f>
        <v>70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IFERROR(__xludf.DUMMYFUNCTION("IMPORTRANGE(""https://docs.google.com/spreadsheets/d/11923uPwbBZFjjGgGUA6NLw09EwE0CqkOc4q9oUmW1yo/edit?usp=sharing"",""พะเยา!I376"")"),31127)</f>
        <v>31127</v>
      </c>
      <c r="J481" s="420">
        <f ca="1">IFERROR(__xludf.DUMMYFUNCTION("IMPORTRANGE(""https://docs.google.com/spreadsheets/d/11923uPwbBZFjjGgGUA6NLw09EwE0CqkOc4q9oUmW1yo/edit?usp=sharing"",""พะเยา!J376"")"),0)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IFERROR(__xludf.DUMMYFUNCTION("IMPORTRANGE(""https://docs.google.com/spreadsheets/d/11923uPwbBZFjjGgGUA6NLw09EwE0CqkOc4q9oUmW1yo/edit?usp=sharing"",""พะเยา!I377"")"),5512)</f>
        <v>5512</v>
      </c>
      <c r="J482" s="420">
        <f ca="1">IFERROR(__xludf.DUMMYFUNCTION("IMPORTRANGE(""https://docs.google.com/spreadsheets/d/11923uPwbBZFjjGgGUA6NLw09EwE0CqkOc4q9oUmW1yo/edit?usp=sharing"",""พะเยา!J377"")"),0)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IFERROR(__xludf.DUMMYFUNCTION("IMPORTRANGE(""https://docs.google.com/spreadsheets/d/11923uPwbBZFjjGgGUA6NLw09EwE0CqkOc4q9oUmW1yo/edit?usp=sharing"",""พะเยา!I378"")"),0)</f>
        <v>0</v>
      </c>
      <c r="J483" s="188">
        <f ca="1">IFERROR(__xludf.DUMMYFUNCTION("IMPORTRANGE(""https://docs.google.com/spreadsheets/d/11923uPwbBZFjjGgGUA6NLw09EwE0CqkOc4q9oUmW1yo/edit?usp=sharing"",""พะเยา!J378"")"),0)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IFERROR(__xludf.DUMMYFUNCTION("IMPORTRANGE(""https://docs.google.com/spreadsheets/d/11923uPwbBZFjjGgGUA6NLw09EwE0CqkOc4q9oUmW1yo/edit?usp=sharing"",""พะเยา!I379"")"),0)</f>
        <v>0</v>
      </c>
      <c r="J484" s="188">
        <f ca="1">IFERROR(__xludf.DUMMYFUNCTION("IMPORTRANGE(""https://docs.google.com/spreadsheets/d/11923uPwbBZFjjGgGUA6NLw09EwE0CqkOc4q9oUmW1yo/edit?usp=sharing"",""พะเยา!J379"")"),0)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IFERROR(__xludf.DUMMYFUNCTION("IMPORTRANGE(""https://docs.google.com/spreadsheets/d/11923uPwbBZFjjGgGUA6NLw09EwE0CqkOc4q9oUmW1yo/edit?usp=sharing"",""พะเยา!I380"")"),0)</f>
        <v>0</v>
      </c>
      <c r="J485" s="188">
        <f ca="1">IFERROR(__xludf.DUMMYFUNCTION("IMPORTRANGE(""https://docs.google.com/spreadsheets/d/11923uPwbBZFjjGgGUA6NLw09EwE0CqkOc4q9oUmW1yo/edit?usp=sharing"",""พะเยา!J380"")"),0)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IFERROR(__xludf.DUMMYFUNCTION("IMPORTRANGE(""https://docs.google.com/spreadsheets/d/11923uPwbBZFjjGgGUA6NLw09EwE0CqkOc4q9oUmW1yo/edit?usp=sharing"",""พะเยา!I381"")"),0)</f>
        <v>0</v>
      </c>
      <c r="J486" s="188">
        <f ca="1">IFERROR(__xludf.DUMMYFUNCTION("IMPORTRANGE(""https://docs.google.com/spreadsheets/d/11923uPwbBZFjjGgGUA6NLw09EwE0CqkOc4q9oUmW1yo/edit?usp=sharing"",""พะเยา!J381"")"),0)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IFERROR(__xludf.DUMMYFUNCTION("IMPORTRANGE(""https://docs.google.com/spreadsheets/d/11923uPwbBZFjjGgGUA6NLw09EwE0CqkOc4q9oUmW1yo/edit?usp=sharing"",""พะเยา!I382"")"),0)</f>
        <v>0</v>
      </c>
      <c r="J487" s="420">
        <f ca="1">IFERROR(__xludf.DUMMYFUNCTION("IMPORTRANGE(""https://docs.google.com/spreadsheets/d/11923uPwbBZFjjGgGUA6NLw09EwE0CqkOc4q9oUmW1yo/edit?usp=sharing"",""พะเยา!J382"")"),0)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IFERROR(__xludf.DUMMYFUNCTION("IMPORTRANGE(""https://docs.google.com/spreadsheets/d/11923uPwbBZFjjGgGUA6NLw09EwE0CqkOc4q9oUmW1yo/edit?usp=sharing"",""พะเยา!I383"")"),0)</f>
        <v>0</v>
      </c>
      <c r="J488" s="420">
        <f ca="1">IFERROR(__xludf.DUMMYFUNCTION("IMPORTRANGE(""https://docs.google.com/spreadsheets/d/11923uPwbBZFjjGgGUA6NLw09EwE0CqkOc4q9oUmW1yo/edit?usp=sharing"",""พะเยา!J383"")"),0)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IFERROR(__xludf.DUMMYFUNCTION("IMPORTRANGE(""https://docs.google.com/spreadsheets/d/11923uPwbBZFjjGgGUA6NLw09EwE0CqkOc4q9oUmW1yo/edit?usp=sharing"",""พะเยา!I384"")"),0)</f>
        <v>0</v>
      </c>
      <c r="J489" s="188">
        <f ca="1">IFERROR(__xludf.DUMMYFUNCTION("IMPORTRANGE(""https://docs.google.com/spreadsheets/d/11923uPwbBZFjjGgGUA6NLw09EwE0CqkOc4q9oUmW1yo/edit?usp=sharing"",""พะเยา!J384"")"),0)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IFERROR(__xludf.DUMMYFUNCTION("IMPORTRANGE(""https://docs.google.com/spreadsheets/d/11923uPwbBZFjjGgGUA6NLw09EwE0CqkOc4q9oUmW1yo/edit?usp=sharing"",""พะเยา!I385"")"),0)</f>
        <v>0</v>
      </c>
      <c r="J490" s="188">
        <f ca="1">IFERROR(__xludf.DUMMYFUNCTION("IMPORTRANGE(""https://docs.google.com/spreadsheets/d/11923uPwbBZFjjGgGUA6NLw09EwE0CqkOc4q9oUmW1yo/edit?usp=sharing"",""พะเยา!J385"")"),0)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IFERROR(__xludf.DUMMYFUNCTION("IMPORTRANGE(""https://docs.google.com/spreadsheets/d/11923uPwbBZFjjGgGUA6NLw09EwE0CqkOc4q9oUmW1yo/edit?usp=sharing"",""พะเยา!I386"")"),0)</f>
        <v>0</v>
      </c>
      <c r="J491" s="188">
        <f ca="1">IFERROR(__xludf.DUMMYFUNCTION("IMPORTRANGE(""https://docs.google.com/spreadsheets/d/11923uPwbBZFjjGgGUA6NLw09EwE0CqkOc4q9oUmW1yo/edit?usp=sharing"",""พะเยา!J386"")"),0)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IFERROR(__xludf.DUMMYFUNCTION("IMPORTRANGE(""https://docs.google.com/spreadsheets/d/11923uPwbBZFjjGgGUA6NLw09EwE0CqkOc4q9oUmW1yo/edit?usp=sharing"",""พะเยา!I387"")"),0)</f>
        <v>0</v>
      </c>
      <c r="J492" s="188">
        <f ca="1">IFERROR(__xludf.DUMMYFUNCTION("IMPORTRANGE(""https://docs.google.com/spreadsheets/d/11923uPwbBZFjjGgGUA6NLw09EwE0CqkOc4q9oUmW1yo/edit?usp=sharing"",""พะเยา!J387"")"),0)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IFERROR(__xludf.DUMMYFUNCTION("IMPORTRANGE(""https://docs.google.com/spreadsheets/d/11923uPwbBZFjjGgGUA6NLw09EwE0CqkOc4q9oUmW1yo/edit?usp=sharing"",""พะเยา!I388"")"),0)</f>
        <v>0</v>
      </c>
      <c r="J493" s="188">
        <f ca="1">IFERROR(__xludf.DUMMYFUNCTION("IMPORTRANGE(""https://docs.google.com/spreadsheets/d/11923uPwbBZFjjGgGUA6NLw09EwE0CqkOc4q9oUmW1yo/edit?usp=sharing"",""พะเยา!J388"")"),0)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IFERROR(__xludf.DUMMYFUNCTION("IMPORTRANGE(""https://docs.google.com/spreadsheets/d/11923uPwbBZFjjGgGUA6NLw09EwE0CqkOc4q9oUmW1yo/edit?usp=sharing"",""พะเยา!I389"")"),0)</f>
        <v>0</v>
      </c>
      <c r="J494" s="436">
        <f ca="1">IFERROR(__xludf.DUMMYFUNCTION("IMPORTRANGE(""https://docs.google.com/spreadsheets/d/11923uPwbBZFjjGgGUA6NLw09EwE0CqkOc4q9oUmW1yo/edit?usp=sharing"",""พะเยา!J389"")"),0)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IFERROR(__xludf.DUMMYFUNCTION("IMPORTRANGE(""https://docs.google.com/spreadsheets/d/11923uPwbBZFjjGgGUA6NLw09EwE0CqkOc4q9oUmW1yo/edit?usp=sharing"",""พะเยา!I390"")"),0)</f>
        <v>0</v>
      </c>
      <c r="J495" s="436">
        <f ca="1">IFERROR(__xludf.DUMMYFUNCTION("IMPORTRANGE(""https://docs.google.com/spreadsheets/d/11923uPwbBZFjjGgGUA6NLw09EwE0CqkOc4q9oUmW1yo/edit?usp=sharing"",""พะเยา!J390"")"),0)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IFERROR(__xludf.DUMMYFUNCTION("IMPORTRANGE(""https://docs.google.com/spreadsheets/d/11923uPwbBZFjjGgGUA6NLw09EwE0CqkOc4q9oUmW1yo/edit?usp=sharing"",""พะเยา!I391"")"),0)</f>
        <v>0</v>
      </c>
      <c r="J496" s="436">
        <f ca="1">IFERROR(__xludf.DUMMYFUNCTION("IMPORTRANGE(""https://docs.google.com/spreadsheets/d/11923uPwbBZFjjGgGUA6NLw09EwE0CqkOc4q9oUmW1yo/edit?usp=sharing"",""พะเยา!J391"")"),0)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IFERROR(__xludf.DUMMYFUNCTION("IMPORTRANGE(""https://docs.google.com/spreadsheets/d/11923uPwbBZFjjGgGUA6NLw09EwE0CqkOc4q9oUmW1yo/edit?usp=sharing"",""พะเยา!I392"")"),100)</f>
        <v>100</v>
      </c>
      <c r="J497" s="443">
        <f ca="1">IFERROR(__xludf.DUMMYFUNCTION("IMPORTRANGE(""https://docs.google.com/spreadsheets/d/11923uPwbBZFjjGgGUA6NLw09EwE0CqkOc4q9oUmW1yo/edit?usp=sharing"",""พะเยา!J392"")"),6)</f>
        <v>6</v>
      </c>
      <c r="K497" s="444">
        <f t="shared" ca="1" si="117"/>
        <v>6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IFERROR(__xludf.DUMMYFUNCTION("IMPORTRANGE(""https://docs.google.com/spreadsheets/d/11923uPwbBZFjjGgGUA6NLw09EwE0CqkOc4q9oUmW1yo/edit?usp=sharing"",""พะเยา!I393"")"),100)</f>
        <v>100</v>
      </c>
      <c r="J498" s="420">
        <f ca="1">IFERROR(__xludf.DUMMYFUNCTION("IMPORTRANGE(""https://docs.google.com/spreadsheets/d/11923uPwbBZFjjGgGUA6NLw09EwE0CqkOc4q9oUmW1yo/edit?usp=sharing"",""พะเยา!J393"")"),6)</f>
        <v>6</v>
      </c>
      <c r="K498" s="163">
        <f t="shared" ca="1" si="117"/>
        <v>6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IFERROR(__xludf.DUMMYFUNCTION("IMPORTRANGE(""https://docs.google.com/spreadsheets/d/11923uPwbBZFjjGgGUA6NLw09EwE0CqkOc4q9oUmW1yo/edit?usp=sharing"",""พะเยา!I394"")"),20)</f>
        <v>20</v>
      </c>
      <c r="J499" s="420">
        <f ca="1">IFERROR(__xludf.DUMMYFUNCTION("IMPORTRANGE(""https://docs.google.com/spreadsheets/d/11923uPwbBZFjjGgGUA6NLw09EwE0CqkOc4q9oUmW1yo/edit?usp=sharing"",""พะเยา!J394"")"),2)</f>
        <v>2</v>
      </c>
      <c r="K499" s="201">
        <f t="shared" ca="1" si="117"/>
        <v>10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IFERROR(__xludf.DUMMYFUNCTION("IMPORTRANGE(""https://docs.google.com/spreadsheets/d/11923uPwbBZFjjGgGUA6NLw09EwE0CqkOc4q9oUmW1yo/edit?usp=sharing"",""พะเยา!I395"")"),0)</f>
        <v>0</v>
      </c>
      <c r="J500" s="162">
        <f ca="1">IFERROR(__xludf.DUMMYFUNCTION("IMPORTRANGE(""https://docs.google.com/spreadsheets/d/11923uPwbBZFjjGgGUA6NLw09EwE0CqkOc4q9oUmW1yo/edit?usp=sharing"",""พะเยา!J395"")"),0)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IFERROR(__xludf.DUMMYFUNCTION("IMPORTRANGE(""https://docs.google.com/spreadsheets/d/11923uPwbBZFjjGgGUA6NLw09EwE0CqkOc4q9oUmW1yo/edit?usp=sharing"",""พะเยา!I396"")"),0)</f>
        <v>0</v>
      </c>
      <c r="J501" s="162">
        <f ca="1">IFERROR(__xludf.DUMMYFUNCTION("IMPORTRANGE(""https://docs.google.com/spreadsheets/d/11923uPwbBZFjjGgGUA6NLw09EwE0CqkOc4q9oUmW1yo/edit?usp=sharing"",""พะเยา!J396"")"),0)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IFERROR(__xludf.DUMMYFUNCTION("IMPORTRANGE(""https://docs.google.com/spreadsheets/d/11923uPwbBZFjjGgGUA6NLw09EwE0CqkOc4q9oUmW1yo/edit?usp=sharing"",""พะเยา!I397"")"),0)</f>
        <v>0</v>
      </c>
      <c r="J502" s="188">
        <f ca="1">IFERROR(__xludf.DUMMYFUNCTION("IMPORTRANGE(""https://docs.google.com/spreadsheets/d/11923uPwbBZFjjGgGUA6NLw09EwE0CqkOc4q9oUmW1yo/edit?usp=sharing"",""พะเยา!J397"")"),0)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IFERROR(__xludf.DUMMYFUNCTION("IMPORTRANGE(""https://docs.google.com/spreadsheets/d/11923uPwbBZFjjGgGUA6NLw09EwE0CqkOc4q9oUmW1yo/edit?usp=sharing"",""พะเยา!I398"")"),0)</f>
        <v>0</v>
      </c>
      <c r="J503" s="197">
        <f ca="1">IFERROR(__xludf.DUMMYFUNCTION("IMPORTRANGE(""https://docs.google.com/spreadsheets/d/11923uPwbBZFjjGgGUA6NLw09EwE0CqkOc4q9oUmW1yo/edit?usp=sharing"",""พะเยา!J398"")"),0)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IFERROR(__xludf.DUMMYFUNCTION("IMPORTRANGE(""https://docs.google.com/spreadsheets/d/11923uPwbBZFjjGgGUA6NLw09EwE0CqkOc4q9oUmW1yo/edit?usp=sharing"",""พะเยา!I399"")"),0)</f>
        <v>0</v>
      </c>
      <c r="J504" s="188">
        <f ca="1">IFERROR(__xludf.DUMMYFUNCTION("IMPORTRANGE(""https://docs.google.com/spreadsheets/d/11923uPwbBZFjjGgGUA6NLw09EwE0CqkOc4q9oUmW1yo/edit?usp=sharing"",""พะเยา!J399"")"),0)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IFERROR(__xludf.DUMMYFUNCTION("IMPORTRANGE(""https://docs.google.com/spreadsheets/d/11923uPwbBZFjjGgGUA6NLw09EwE0CqkOc4q9oUmW1yo/edit?usp=sharing"",""พะเยา!I400"")"),0)</f>
        <v>0</v>
      </c>
      <c r="J505" s="197">
        <f ca="1">IFERROR(__xludf.DUMMYFUNCTION("IMPORTRANGE(""https://docs.google.com/spreadsheets/d/11923uPwbBZFjjGgGUA6NLw09EwE0CqkOc4q9oUmW1yo/edit?usp=sharing"",""พะเยา!J400"")"),0)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IFERROR(__xludf.DUMMYFUNCTION("IMPORTRANGE(""https://docs.google.com/spreadsheets/d/11923uPwbBZFjjGgGUA6NLw09EwE0CqkOc4q9oUmW1yo/edit?usp=sharing"",""พะเยา!I401"")"),0)</f>
        <v>0</v>
      </c>
      <c r="J506" s="188">
        <f ca="1">IFERROR(__xludf.DUMMYFUNCTION("IMPORTRANGE(""https://docs.google.com/spreadsheets/d/11923uPwbBZFjjGgGUA6NLw09EwE0CqkOc4q9oUmW1yo/edit?usp=sharing"",""พะเยา!J401"")"),0)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IFERROR(__xludf.DUMMYFUNCTION("IMPORTRANGE(""https://docs.google.com/spreadsheets/d/11923uPwbBZFjjGgGUA6NLw09EwE0CqkOc4q9oUmW1yo/edit?usp=sharing"",""พะเยา!I402"")"),0)</f>
        <v>0</v>
      </c>
      <c r="J507" s="197">
        <f ca="1">IFERROR(__xludf.DUMMYFUNCTION("IMPORTRANGE(""https://docs.google.com/spreadsheets/d/11923uPwbBZFjjGgGUA6NLw09EwE0CqkOc4q9oUmW1yo/edit?usp=sharing"",""พะเยา!J402"")"),0)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IFERROR(__xludf.DUMMYFUNCTION("IMPORTRANGE(""https://docs.google.com/spreadsheets/d/11923uPwbBZFjjGgGUA6NLw09EwE0CqkOc4q9oUmW1yo/edit?usp=sharing"",""พะเยา!I403"")"),0)</f>
        <v>0</v>
      </c>
      <c r="J508" s="162">
        <f ca="1">IFERROR(__xludf.DUMMYFUNCTION("IMPORTRANGE(""https://docs.google.com/spreadsheets/d/11923uPwbBZFjjGgGUA6NLw09EwE0CqkOc4q9oUmW1yo/edit?usp=sharing"",""พะเยา!J403"")"),6)</f>
        <v>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IFERROR(__xludf.DUMMYFUNCTION("IMPORTRANGE(""https://docs.google.com/spreadsheets/d/11923uPwbBZFjjGgGUA6NLw09EwE0CqkOc4q9oUmW1yo/edit?usp=sharing"",""พะเยา!I404"")"),0)</f>
        <v>0</v>
      </c>
      <c r="J509" s="162">
        <f ca="1">IFERROR(__xludf.DUMMYFUNCTION("IMPORTRANGE(""https://docs.google.com/spreadsheets/d/11923uPwbBZFjjGgGUA6NLw09EwE0CqkOc4q9oUmW1yo/edit?usp=sharing"",""พะเยา!J404"")"),2)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IFERROR(__xludf.DUMMYFUNCTION("IMPORTRANGE(""https://docs.google.com/spreadsheets/d/11923uPwbBZFjjGgGUA6NLw09EwE0CqkOc4q9oUmW1yo/edit?usp=sharing"",""พะเยา!I405"")"),0)</f>
        <v>0</v>
      </c>
      <c r="J510" s="197">
        <f ca="1">IFERROR(__xludf.DUMMYFUNCTION("IMPORTRANGE(""https://docs.google.com/spreadsheets/d/11923uPwbBZFjjGgGUA6NLw09EwE0CqkOc4q9oUmW1yo/edit?usp=sharing"",""พะเยา!J405"")"),6)</f>
        <v>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IFERROR(__xludf.DUMMYFUNCTION("IMPORTRANGE(""https://docs.google.com/spreadsheets/d/11923uPwbBZFjjGgGUA6NLw09EwE0CqkOc4q9oUmW1yo/edit?usp=sharing"",""พะเยา!I406"")"),0)</f>
        <v>0</v>
      </c>
      <c r="J511" s="197">
        <f ca="1">IFERROR(__xludf.DUMMYFUNCTION("IMPORTRANGE(""https://docs.google.com/spreadsheets/d/11923uPwbBZFjjGgGUA6NLw09EwE0CqkOc4q9oUmW1yo/edit?usp=sharing"",""พะเยา!J406"")"),2)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IFERROR(__xludf.DUMMYFUNCTION("IMPORTRANGE(""https://docs.google.com/spreadsheets/d/11923uPwbBZFjjGgGUA6NLw09EwE0CqkOc4q9oUmW1yo/edit?usp=sharing"",""พะเยา!I407"")"),0)</f>
        <v>0</v>
      </c>
      <c r="J512" s="197">
        <f ca="1">IFERROR(__xludf.DUMMYFUNCTION("IMPORTRANGE(""https://docs.google.com/spreadsheets/d/11923uPwbBZFjjGgGUA6NLw09EwE0CqkOc4q9oUmW1yo/edit?usp=sharing"",""พะเยา!J407"")"),0)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IFERROR(__xludf.DUMMYFUNCTION("IMPORTRANGE(""https://docs.google.com/spreadsheets/d/11923uPwbBZFjjGgGUA6NLw09EwE0CqkOc4q9oUmW1yo/edit?usp=sharing"",""พะเยา!I408"")"),0)</f>
        <v>0</v>
      </c>
      <c r="J513" s="197">
        <f ca="1">IFERROR(__xludf.DUMMYFUNCTION("IMPORTRANGE(""https://docs.google.com/spreadsheets/d/11923uPwbBZFjjGgGUA6NLw09EwE0CqkOc4q9oUmW1yo/edit?usp=sharing"",""พะเยา!J408"")"),0)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IFERROR(__xludf.DUMMYFUNCTION("IMPORTRANGE(""https://docs.google.com/spreadsheets/d/11923uPwbBZFjjGgGUA6NLw09EwE0CqkOc4q9oUmW1yo/edit?usp=sharing"",""พะเยา!I409"")"),0)</f>
        <v>0</v>
      </c>
      <c r="J514" s="197">
        <f ca="1">IFERROR(__xludf.DUMMYFUNCTION("IMPORTRANGE(""https://docs.google.com/spreadsheets/d/11923uPwbBZFjjGgGUA6NLw09EwE0CqkOc4q9oUmW1yo/edit?usp=sharing"",""พะเยา!J409"")"),0)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IFERROR(__xludf.DUMMYFUNCTION("IMPORTRANGE(""https://docs.google.com/spreadsheets/d/11923uPwbBZFjjGgGUA6NLw09EwE0CqkOc4q9oUmW1yo/edit?usp=sharing"",""พะเยา!I410"")"),0)</f>
        <v>0</v>
      </c>
      <c r="J515" s="197">
        <f ca="1">IFERROR(__xludf.DUMMYFUNCTION("IMPORTRANGE(""https://docs.google.com/spreadsheets/d/11923uPwbBZFjjGgGUA6NLw09EwE0CqkOc4q9oUmW1yo/edit?usp=sharing"",""พะเยา!J410"")"),0)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IFERROR(__xludf.DUMMYFUNCTION("IMPORTRANGE(""https://docs.google.com/spreadsheets/d/11923uPwbBZFjjGgGUA6NLw09EwE0CqkOc4q9oUmW1yo/edit?usp=sharing"",""พะเยา!I411"")"),0)</f>
        <v>0</v>
      </c>
      <c r="J516" s="267">
        <f ca="1">IFERROR(__xludf.DUMMYFUNCTION("IMPORTRANGE(""https://docs.google.com/spreadsheets/d/11923uPwbBZFjjGgGUA6NLw09EwE0CqkOc4q9oUmW1yo/edit?usp=sharing"",""พะเยา!J411"")"),0)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IFERROR(__xludf.DUMMYFUNCTION("IMPORTRANGE(""https://docs.google.com/spreadsheets/d/11923uPwbBZFjjGgGUA6NLw09EwE0CqkOc4q9oUmW1yo/edit?usp=sharing"",""พะเยา!I412"")"),0)</f>
        <v>0</v>
      </c>
      <c r="J517" s="284">
        <f ca="1">IFERROR(__xludf.DUMMYFUNCTION("IMPORTRANGE(""https://docs.google.com/spreadsheets/d/11923uPwbBZFjjGgGUA6NLw09EwE0CqkOc4q9oUmW1yo/edit?usp=sharing"",""พะเยา!J412"")"),0)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IFERROR(__xludf.DUMMYFUNCTION("IMPORTRANGE(""https://docs.google.com/spreadsheets/d/11923uPwbBZFjjGgGUA6NLw09EwE0CqkOc4q9oUmW1yo/edit?usp=sharing"",""พะเยา!I413"")"),0)</f>
        <v>0</v>
      </c>
      <c r="J518" s="284">
        <f ca="1">IFERROR(__xludf.DUMMYFUNCTION("IMPORTRANGE(""https://docs.google.com/spreadsheets/d/11923uPwbBZFjjGgGUA6NLw09EwE0CqkOc4q9oUmW1yo/edit?usp=sharing"",""พะเยา!J413"")"),0)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IFERROR(__xludf.DUMMYFUNCTION("IMPORTRANGE(""https://docs.google.com/spreadsheets/d/11923uPwbBZFjjGgGUA6NLw09EwE0CqkOc4q9oUmW1yo/edit?usp=sharing"",""พะเยา!I414"")"),0)</f>
        <v>0</v>
      </c>
      <c r="J519" s="187">
        <f ca="1">IFERROR(__xludf.DUMMYFUNCTION("IMPORTRANGE(""https://docs.google.com/spreadsheets/d/11923uPwbBZFjjGgGUA6NLw09EwE0CqkOc4q9oUmW1yo/edit?usp=sharing"",""พะเยา!J414"")"),0)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IFERROR(__xludf.DUMMYFUNCTION("IMPORTRANGE(""https://docs.google.com/spreadsheets/d/11923uPwbBZFjjGgGUA6NLw09EwE0CqkOc4q9oUmW1yo/edit?usp=sharing"",""พะเยา!I415"")"),0)</f>
        <v>0</v>
      </c>
      <c r="J520" s="187">
        <f ca="1">IFERROR(__xludf.DUMMYFUNCTION("IMPORTRANGE(""https://docs.google.com/spreadsheets/d/11923uPwbBZFjjGgGUA6NLw09EwE0CqkOc4q9oUmW1yo/edit?usp=sharing"",""พะเยา!J415"")"),0)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IFERROR(__xludf.DUMMYFUNCTION("IMPORTRANGE(""https://docs.google.com/spreadsheets/d/11923uPwbBZFjjGgGUA6NLw09EwE0CqkOc4q9oUmW1yo/edit?usp=sharing"",""พะเยา!I416"")"),0)</f>
        <v>0</v>
      </c>
      <c r="J521" s="187">
        <f ca="1">IFERROR(__xludf.DUMMYFUNCTION("IMPORTRANGE(""https://docs.google.com/spreadsheets/d/11923uPwbBZFjjGgGUA6NLw09EwE0CqkOc4q9oUmW1yo/edit?usp=sharing"",""พะเยา!J416"")"),0)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IFERROR(__xludf.DUMMYFUNCTION("IMPORTRANGE(""https://docs.google.com/spreadsheets/d/11923uPwbBZFjjGgGUA6NLw09EwE0CqkOc4q9oUmW1yo/edit?usp=sharing"",""พะเยา!I417"")"),0)</f>
        <v>0</v>
      </c>
      <c r="J522" s="187">
        <f ca="1">IFERROR(__xludf.DUMMYFUNCTION("IMPORTRANGE(""https://docs.google.com/spreadsheets/d/11923uPwbBZFjjGgGUA6NLw09EwE0CqkOc4q9oUmW1yo/edit?usp=sharing"",""พะเยา!J417"")"),0)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IFERROR(__xludf.DUMMYFUNCTION("IMPORTRANGE(""https://docs.google.com/spreadsheets/d/11923uPwbBZFjjGgGUA6NLw09EwE0CqkOc4q9oUmW1yo/edit?usp=sharing"",""พะเยา!I418"")"),0)</f>
        <v>0</v>
      </c>
      <c r="J523" s="187">
        <f ca="1">IFERROR(__xludf.DUMMYFUNCTION("IMPORTRANGE(""https://docs.google.com/spreadsheets/d/11923uPwbBZFjjGgGUA6NLw09EwE0CqkOc4q9oUmW1yo/edit?usp=sharing"",""พะเยา!J418"")"),6)</f>
        <v>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IFERROR(__xludf.DUMMYFUNCTION("IMPORTRANGE(""https://docs.google.com/spreadsheets/d/11923uPwbBZFjjGgGUA6NLw09EwE0CqkOc4q9oUmW1yo/edit?usp=sharing"",""พะเยา!I419"")"),0)</f>
        <v>0</v>
      </c>
      <c r="J524" s="187">
        <f ca="1">IFERROR(__xludf.DUMMYFUNCTION("IMPORTRANGE(""https://docs.google.com/spreadsheets/d/11923uPwbBZFjjGgGUA6NLw09EwE0CqkOc4q9oUmW1yo/edit?usp=sharing"",""พะเยา!J419"")"),4)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IFERROR(__xludf.DUMMYFUNCTION("IMPORTRANGE(""https://docs.google.com/spreadsheets/d/11923uPwbBZFjjGgGUA6NLw09EwE0CqkOc4q9oUmW1yo/edit?usp=sharing"",""พะเยา!I420"")"),6)</f>
        <v>6</v>
      </c>
      <c r="J525" s="284">
        <f ca="1">IFERROR(__xludf.DUMMYFUNCTION("IMPORTRANGE(""https://docs.google.com/spreadsheets/d/11923uPwbBZFjjGgGUA6NLw09EwE0CqkOc4q9oUmW1yo/edit?usp=sharing"",""พะเยา!J420"")"),0)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IFERROR(__xludf.DUMMYFUNCTION("IMPORTRANGE(""https://docs.google.com/spreadsheets/d/11923uPwbBZFjjGgGUA6NLw09EwE0CqkOc4q9oUmW1yo/edit?usp=sharing"",""พะเยา!I421"")"),4)</f>
        <v>4</v>
      </c>
      <c r="J526" s="284">
        <f ca="1">IFERROR(__xludf.DUMMYFUNCTION("IMPORTRANGE(""https://docs.google.com/spreadsheets/d/11923uPwbBZFjjGgGUA6NLw09EwE0CqkOc4q9oUmW1yo/edit?usp=sharing"",""พะเยา!J421"")"),0)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IFERROR(__xludf.DUMMYFUNCTION("IMPORTRANGE(""https://docs.google.com/spreadsheets/d/11923uPwbBZFjjGgGUA6NLw09EwE0CqkOc4q9oUmW1yo/edit?usp=sharing"",""พะเยา!I422"")"),0)</f>
        <v>0</v>
      </c>
      <c r="J527" s="197">
        <f ca="1">IFERROR(__xludf.DUMMYFUNCTION("IMPORTRANGE(""https://docs.google.com/spreadsheets/d/11923uPwbBZFjjGgGUA6NLw09EwE0CqkOc4q9oUmW1yo/edit?usp=sharing"",""พะเยา!J422"")"),0)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IFERROR(__xludf.DUMMYFUNCTION("IMPORTRANGE(""https://docs.google.com/spreadsheets/d/11923uPwbBZFjjGgGUA6NLw09EwE0CqkOc4q9oUmW1yo/edit?usp=sharing"",""พะเยา!I423"")"),0)</f>
        <v>0</v>
      </c>
      <c r="J528" s="197">
        <f ca="1">IFERROR(__xludf.DUMMYFUNCTION("IMPORTRANGE(""https://docs.google.com/spreadsheets/d/11923uPwbBZFjjGgGUA6NLw09EwE0CqkOc4q9oUmW1yo/edit?usp=sharing"",""พะเยา!J423"")"),0)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IFERROR(__xludf.DUMMYFUNCTION("IMPORTRANGE(""https://docs.google.com/spreadsheets/d/11923uPwbBZFjjGgGUA6NLw09EwE0CqkOc4q9oUmW1yo/edit?usp=sharing"",""พะเยา!I424"")"),0)</f>
        <v>0</v>
      </c>
      <c r="J529" s="197">
        <f ca="1">IFERROR(__xludf.DUMMYFUNCTION("IMPORTRANGE(""https://docs.google.com/spreadsheets/d/11923uPwbBZFjjGgGUA6NLw09EwE0CqkOc4q9oUmW1yo/edit?usp=sharing"",""พะเยา!J424"")"),0)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IFERROR(__xludf.DUMMYFUNCTION("IMPORTRANGE(""https://docs.google.com/spreadsheets/d/11923uPwbBZFjjGgGUA6NLw09EwE0CqkOc4q9oUmW1yo/edit?usp=sharing"",""พะเยา!I425"")"),0)</f>
        <v>0</v>
      </c>
      <c r="J530" s="197">
        <f ca="1">IFERROR(__xludf.DUMMYFUNCTION("IMPORTRANGE(""https://docs.google.com/spreadsheets/d/11923uPwbBZFjjGgGUA6NLw09EwE0CqkOc4q9oUmW1yo/edit?usp=sharing"",""พะเยา!J425"")"),0)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IFERROR(__xludf.DUMMYFUNCTION("IMPORTRANGE(""https://docs.google.com/spreadsheets/d/11923uPwbBZFjjGgGUA6NLw09EwE0CqkOc4q9oUmW1yo/edit?usp=sharing"",""พะเยา!I426"")"),0)</f>
        <v>0</v>
      </c>
      <c r="J531" s="197">
        <f ca="1">IFERROR(__xludf.DUMMYFUNCTION("IMPORTRANGE(""https://docs.google.com/spreadsheets/d/11923uPwbBZFjjGgGUA6NLw09EwE0CqkOc4q9oUmW1yo/edit?usp=sharing"",""พะเยา!J426"")"),0)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IFERROR(__xludf.DUMMYFUNCTION("IMPORTRANGE(""https://docs.google.com/spreadsheets/d/11923uPwbBZFjjGgGUA6NLw09EwE0CqkOc4q9oUmW1yo/edit?usp=sharing"",""พะเยา!I427"")"),0)</f>
        <v>0</v>
      </c>
      <c r="J532" s="466">
        <f ca="1">IFERROR(__xludf.DUMMYFUNCTION("IMPORTRANGE(""https://docs.google.com/spreadsheets/d/11923uPwbBZFjjGgGUA6NLw09EwE0CqkOc4q9oUmW1yo/edit?usp=sharing"",""พะเยา!J427"")"),0)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IFERROR(__xludf.DUMMYFUNCTION("IMPORTRANGE(""https://docs.google.com/spreadsheets/d/11923uPwbBZFjjGgGUA6NLw09EwE0CqkOc4q9oUmW1yo/edit?usp=sharing"",""พะเยา!I428"")"),22)</f>
        <v>22</v>
      </c>
      <c r="J533" s="409">
        <f ca="1">IFERROR(__xludf.DUMMYFUNCTION("IMPORTRANGE(""https://docs.google.com/spreadsheets/d/11923uPwbBZFjjGgGUA6NLw09EwE0CqkOc4q9oUmW1yo/edit?usp=sharing"",""พะเยา!J428"")"),22)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IFERROR(__xludf.DUMMYFUNCTION("IMPORTRANGE(""https://docs.google.com/spreadsheets/d/11923uPwbBZFjjGgGUA6NLw09EwE0CqkOc4q9oUmW1yo/edit?usp=sharing"",""พะเยา!L428"")"),34340)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IFERROR(__xludf.DUMMYFUNCTION("IMPORTRANGE(""https://docs.google.com/spreadsheets/d/11923uPwbBZFjjGgGUA6NLw09EwE0CqkOc4q9oUmW1yo/edit?usp=sharing"",""พะเยา!M428"")"),18660)</f>
        <v>18660</v>
      </c>
      <c r="O533" s="411">
        <f t="shared" ref="O533:O537" ca="1" si="118">+IF(L533&gt;0,N533*100/L533,0)</f>
        <v>54.338963308095515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IFERROR(__xludf.DUMMYFUNCTION("IMPORTRANGE(""https://docs.google.com/spreadsheets/d/11923uPwbBZFjjGgGUA6NLw09EwE0CqkOc4q9oUmW1yo/edit?usp=sharing"",""พะเยา!L429"")"),0)</f>
        <v>0</v>
      </c>
      <c r="M534" s="164"/>
      <c r="N534" s="168">
        <f ca="1">IFERROR(__xludf.DUMMYFUNCTION("IMPORTRANGE(""https://docs.google.com/spreadsheets/d/11923uPwbBZFjjGgGUA6NLw09EwE0CqkOc4q9oUmW1yo/edit?usp=sharing"",""พะเยา!M429"")"),0)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IFERROR(__xludf.DUMMYFUNCTION("IMPORTRANGE(""https://docs.google.com/spreadsheets/d/11923uPwbBZFjjGgGUA6NLw09EwE0CqkOc4q9oUmW1yo/edit?usp=sharing"",""พะเยา!L430"")"),34340)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IFERROR(__xludf.DUMMYFUNCTION("IMPORTRANGE(""https://docs.google.com/spreadsheets/d/11923uPwbBZFjjGgGUA6NLw09EwE0CqkOc4q9oUmW1yo/edit?usp=sharing"",""พะเยา!M430"")"),18660)</f>
        <v>18660</v>
      </c>
      <c r="O535" s="168">
        <f t="shared" ca="1" si="118"/>
        <v>54.338963308095515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IFERROR(__xludf.DUMMYFUNCTION("IMPORTRANGE(""https://docs.google.com/spreadsheets/d/11923uPwbBZFjjGgGUA6NLw09EwE0CqkOc4q9oUmW1yo/edit?usp=sharing"",""พะเยา!L431"")"),0)</f>
        <v>0</v>
      </c>
      <c r="M536" s="168"/>
      <c r="N536" s="168">
        <f ca="1">IFERROR(__xludf.DUMMYFUNCTION("IMPORTRANGE(""https://docs.google.com/spreadsheets/d/11923uPwbBZFjjGgGUA6NLw09EwE0CqkOc4q9oUmW1yo/edit?usp=sharing"",""พะเยา!M431"")"),0)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IFERROR(__xludf.DUMMYFUNCTION("IMPORTRANGE(""https://docs.google.com/spreadsheets/d/11923uPwbBZFjjGgGUA6NLw09EwE0CqkOc4q9oUmW1yo/edit?usp=sharing"",""พะเยา!L432"")"),34340)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IFERROR(__xludf.DUMMYFUNCTION("IMPORTRANGE(""https://docs.google.com/spreadsheets/d/11923uPwbBZFjjGgGUA6NLw09EwE0CqkOc4q9oUmW1yo/edit?usp=sharing"",""พะเยา!M432"")"),18660)</f>
        <v>18660</v>
      </c>
      <c r="O537" s="168">
        <f t="shared" ca="1" si="118"/>
        <v>54.338963308095515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IFERROR(__xludf.DUMMYFUNCTION("IMPORTRANGE(""https://docs.google.com/spreadsheets/d/11923uPwbBZFjjGgGUA6NLw09EwE0CqkOc4q9oUmW1yo/edit?usp=sharing"",""พะเยา!M433"")"),12520)</f>
        <v>12520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IFERROR(__xludf.DUMMYFUNCTION("IMPORTRANGE(""https://docs.google.com/spreadsheets/d/11923uPwbBZFjjGgGUA6NLw09EwE0CqkOc4q9oUmW1yo/edit?usp=sharing"",""พะเยา!M434"")"),0)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IFERROR(__xludf.DUMMYFUNCTION("IMPORTRANGE(""https://docs.google.com/spreadsheets/d/11923uPwbBZFjjGgGUA6NLw09EwE0CqkOc4q9oUmW1yo/edit?usp=sharing"",""พะเยา!M435"")"),0)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IFERROR(__xludf.DUMMYFUNCTION("IMPORTRANGE(""https://docs.google.com/spreadsheets/d/11923uPwbBZFjjGgGUA6NLw09EwE0CqkOc4q9oUmW1yo/edit?usp=sharing"",""พะเยา!M436"")"),6140)</f>
        <v>6140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IFERROR(__xludf.DUMMYFUNCTION("IMPORTRANGE(""https://docs.google.com/spreadsheets/d/11923uPwbBZFjjGgGUA6NLw09EwE0CqkOc4q9oUmW1yo/edit?usp=sharing"",""พะเยา!J438"")"),0)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IFERROR(__xludf.DUMMYFUNCTION("IMPORTRANGE(""https://docs.google.com/spreadsheets/d/11923uPwbBZFjjGgGUA6NLw09EwE0CqkOc4q9oUmW1yo/edit?usp=sharing"",""พะเยา!J439"")"),1)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IFERROR(__xludf.DUMMYFUNCTION("IMPORTRANGE(""https://docs.google.com/spreadsheets/d/11923uPwbBZFjjGgGUA6NLw09EwE0CqkOc4q9oUmW1yo/edit?usp=sharing"",""พะเยา!J440"")"),1)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IFERROR(__xludf.DUMMYFUNCTION("IMPORTRANGE(""https://docs.google.com/spreadsheets/d/11923uPwbBZFjjGgGUA6NLw09EwE0CqkOc4q9oUmW1yo/edit?usp=sharing"",""พะเยา!J441"")"),1)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IFERROR(__xludf.DUMMYFUNCTION("IMPORTRANGE(""https://docs.google.com/spreadsheets/d/11923uPwbBZFjjGgGUA6NLw09EwE0CqkOc4q9oUmW1yo/edit?usp=sharing"",""พะเยา!I442"")"),22)</f>
        <v>22</v>
      </c>
      <c r="J547" s="188">
        <f ca="1">IFERROR(__xludf.DUMMYFUNCTION("IMPORTRANGE(""https://docs.google.com/spreadsheets/d/11923uPwbBZFjjGgGUA6NLw09EwE0CqkOc4q9oUmW1yo/edit?usp=sharing"",""พะเยา!J442"")"),22)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IFERROR(__xludf.DUMMYFUNCTION("IMPORTRANGE(""https://docs.google.com/spreadsheets/d/11923uPwbBZFjjGgGUA6NLw09EwE0CqkOc4q9oUmW1yo/edit?usp=sharing"",""พะเยา!J166"")"),0)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IFERROR(__xludf.DUMMYFUNCTION("IMPORTRANGE(""https://docs.google.com/spreadsheets/d/11923uPwbBZFjjGgGUA6NLw09EwE0CqkOc4q9oUmW1yo/edit?usp=sharing"",""พะเยา!J444"")"),0)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IFERROR(__xludf.DUMMYFUNCTION("IMPORTRANGE(""https://docs.google.com/spreadsheets/d/11923uPwbBZFjjGgGUA6NLw09EwE0CqkOc4q9oUmW1yo/edit?usp=sharing"",""พะเยา!J445"")"),0)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IFERROR(__xludf.DUMMYFUNCTION("IMPORTRANGE(""https://docs.google.com/spreadsheets/d/11923uPwbBZFjjGgGUA6NLw09EwE0CqkOc4q9oUmW1yo/edit?usp=sharing"",""พะเยา!I446"")"),0)</f>
        <v>0</v>
      </c>
      <c r="J551" s="409">
        <f ca="1">IFERROR(__xludf.DUMMYFUNCTION("IMPORTRANGE(""https://docs.google.com/spreadsheets/d/11923uPwbBZFjjGgGUA6NLw09EwE0CqkOc4q9oUmW1yo/edit?usp=sharing"",""พะเยา!J446"")"),0)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IFERROR(__xludf.DUMMYFUNCTION("IMPORTRANGE(""https://docs.google.com/spreadsheets/d/11923uPwbBZFjjGgGUA6NLw09EwE0CqkOc4q9oUmW1yo/edit?usp=sharing"",""พะเยา!L446"")"),0)</f>
        <v>0</v>
      </c>
      <c r="M551" s="411"/>
      <c r="N551" s="411">
        <f ca="1">IFERROR(__xludf.DUMMYFUNCTION("IMPORTRANGE(""https://docs.google.com/spreadsheets/d/11923uPwbBZFjjGgGUA6NLw09EwE0CqkOc4q9oUmW1yo/edit?usp=sharing"",""พะเยา!M446"")"),0)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IFERROR(__xludf.DUMMYFUNCTION("IMPORTRANGE(""https://docs.google.com/spreadsheets/d/11923uPwbBZFjjGgGUA6NLw09EwE0CqkOc4q9oUmW1yo/edit?usp=sharing"",""พะเยา!L447"")"),0)</f>
        <v>0</v>
      </c>
      <c r="M552" s="164"/>
      <c r="N552" s="168">
        <f ca="1">IFERROR(__xludf.DUMMYFUNCTION("IMPORTRANGE(""https://docs.google.com/spreadsheets/d/11923uPwbBZFjjGgGUA6NLw09EwE0CqkOc4q9oUmW1yo/edit?usp=sharing"",""พะเยา!M447"")"),0)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IFERROR(__xludf.DUMMYFUNCTION("IMPORTRANGE(""https://docs.google.com/spreadsheets/d/11923uPwbBZFjjGgGUA6NLw09EwE0CqkOc4q9oUmW1yo/edit?usp=sharing"",""พะเยา!L448"")"),0)</f>
        <v>0</v>
      </c>
      <c r="M553" s="165"/>
      <c r="N553" s="168">
        <f ca="1">IFERROR(__xludf.DUMMYFUNCTION("IMPORTRANGE(""https://docs.google.com/spreadsheets/d/11923uPwbBZFjjGgGUA6NLw09EwE0CqkOc4q9oUmW1yo/edit?usp=sharing"",""พะเยา!M448"")"),0)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IFERROR(__xludf.DUMMYFUNCTION("IMPORTRANGE(""https://docs.google.com/spreadsheets/d/11923uPwbBZFjjGgGUA6NLw09EwE0CqkOc4q9oUmW1yo/edit?usp=sharing"",""พะเยา!L449"")"),0)</f>
        <v>0</v>
      </c>
      <c r="M554" s="168"/>
      <c r="N554" s="168">
        <f ca="1">IFERROR(__xludf.DUMMYFUNCTION("IMPORTRANGE(""https://docs.google.com/spreadsheets/d/11923uPwbBZFjjGgGUA6NLw09EwE0CqkOc4q9oUmW1yo/edit?usp=sharing"",""พะเยา!M449"")"),0)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IFERROR(__xludf.DUMMYFUNCTION("IMPORTRANGE(""https://docs.google.com/spreadsheets/d/11923uPwbBZFjjGgGUA6NLw09EwE0CqkOc4q9oUmW1yo/edit?usp=sharing"",""พะเยา!L450"")"),0)</f>
        <v>0</v>
      </c>
      <c r="M555" s="168"/>
      <c r="N555" s="168">
        <f ca="1">IFERROR(__xludf.DUMMYFUNCTION("IMPORTRANGE(""https://docs.google.com/spreadsheets/d/11923uPwbBZFjjGgGUA6NLw09EwE0CqkOc4q9oUmW1yo/edit?usp=sharing"",""พะเยา!M450"")"),0)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IFERROR(__xludf.DUMMYFUNCTION("IMPORTRANGE(""https://docs.google.com/spreadsheets/d/11923uPwbBZFjjGgGUA6NLw09EwE0CqkOc4q9oUmW1yo/edit?usp=sharing"",""พะเยา!M451"")"),0)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IFERROR(__xludf.DUMMYFUNCTION("IMPORTRANGE(""https://docs.google.com/spreadsheets/d/11923uPwbBZFjjGgGUA6NLw09EwE0CqkOc4q9oUmW1yo/edit?usp=sharing"",""พะเยา!M452"")"),0)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IFERROR(__xludf.DUMMYFUNCTION("IMPORTRANGE(""https://docs.google.com/spreadsheets/d/11923uPwbBZFjjGgGUA6NLw09EwE0CqkOc4q9oUmW1yo/edit?usp=sharing"",""พะเยา!M453"")"),0)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IFERROR(__xludf.DUMMYFUNCTION("IMPORTRANGE(""https://docs.google.com/spreadsheets/d/11923uPwbBZFjjGgGUA6NLw09EwE0CqkOc4q9oUmW1yo/edit?usp=sharing"",""พะเยา!M454"")"),0)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IFERROR(__xludf.DUMMYFUNCTION("IMPORTRANGE(""https://docs.google.com/spreadsheets/d/11923uPwbBZFjjGgGUA6NLw09EwE0CqkOc4q9oUmW1yo/edit?usp=sharing"",""พะเยา!I455"")"),0)</f>
        <v>0</v>
      </c>
      <c r="J560" s="162">
        <f ca="1">IFERROR(__xludf.DUMMYFUNCTION("IMPORTRANGE(""https://docs.google.com/spreadsheets/d/11923uPwbBZFjjGgGUA6NLw09EwE0CqkOc4q9oUmW1yo/edit?usp=sharing"",""พะเยา!J455"")"),0)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IFERROR(__xludf.DUMMYFUNCTION("IMPORTRANGE(""https://docs.google.com/spreadsheets/d/11923uPwbBZFjjGgGUA6NLw09EwE0CqkOc4q9oUmW1yo/edit?usp=sharing"",""พะเยา!I456"")"),0)</f>
        <v>0</v>
      </c>
      <c r="J561" s="203">
        <f ca="1">IFERROR(__xludf.DUMMYFUNCTION("IMPORTRANGE(""https://docs.google.com/spreadsheets/d/11923uPwbBZFjjGgGUA6NLw09EwE0CqkOc4q9oUmW1yo/edit?usp=sharing"",""พะเยา!J456"")"),0)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IFERROR(__xludf.DUMMYFUNCTION("IMPORTRANGE(""https://docs.google.com/spreadsheets/d/11923uPwbBZFjjGgGUA6NLw09EwE0CqkOc4q9oUmW1yo/edit?usp=sharing"",""พะเยา!I459"")"),1950)</f>
        <v>1950</v>
      </c>
      <c r="J564" s="370">
        <f ca="1">IFERROR(__xludf.DUMMYFUNCTION("IMPORTRANGE(""https://docs.google.com/spreadsheets/d/11923uPwbBZFjjGgGUA6NLw09EwE0CqkOc4q9oUmW1yo/edit?usp=sharing"",""พะเยา!J459"")"),2582)</f>
        <v>2582</v>
      </c>
      <c r="K564" s="371">
        <f ca="1">IF(I564&gt;0,J564*100/I564,0)</f>
        <v>132.41025641025641</v>
      </c>
      <c r="L564" s="372">
        <f ca="1">IFERROR(__xludf.DUMMYFUNCTION("IMPORTRANGE(""https://docs.google.com/spreadsheets/d/11923uPwbBZFjjGgGUA6NLw09EwE0CqkOc4q9oUmW1yo/edit?usp=sharing"",""พะเยา!L459"")"),142240)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IFERROR(__xludf.DUMMYFUNCTION("IMPORTRANGE(""https://docs.google.com/spreadsheets/d/11923uPwbBZFjjGgGUA6NLw09EwE0CqkOc4q9oUmW1yo/edit?usp=sharing"",""พะเยา!M459"")"),70671)</f>
        <v>70671</v>
      </c>
      <c r="O564" s="372">
        <f t="shared" ref="O564:O568" ca="1" si="122">+IF(L564&gt;0,N564*100/L564,0)</f>
        <v>49.684336332958381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IFERROR(__xludf.DUMMYFUNCTION("IMPORTRANGE(""https://docs.google.com/spreadsheets/d/11923uPwbBZFjjGgGUA6NLw09EwE0CqkOc4q9oUmW1yo/edit?usp=sharing"",""พะเยา!L460"")"),0)</f>
        <v>0</v>
      </c>
      <c r="M565" s="164"/>
      <c r="N565" s="168">
        <f ca="1">IFERROR(__xludf.DUMMYFUNCTION("IMPORTRANGE(""https://docs.google.com/spreadsheets/d/11923uPwbBZFjjGgGUA6NLw09EwE0CqkOc4q9oUmW1yo/edit?usp=sharing"",""พะเยา!M460"")"),0)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IFERROR(__xludf.DUMMYFUNCTION("IMPORTRANGE(""https://docs.google.com/spreadsheets/d/11923uPwbBZFjjGgGUA6NLw09EwE0CqkOc4q9oUmW1yo/edit?usp=sharing"",""พะเยา!L461"")"),142240)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IFERROR(__xludf.DUMMYFUNCTION("IMPORTRANGE(""https://docs.google.com/spreadsheets/d/11923uPwbBZFjjGgGUA6NLw09EwE0CqkOc4q9oUmW1yo/edit?usp=sharing"",""พะเยา!M461"")"),70671)</f>
        <v>70671</v>
      </c>
      <c r="O566" s="168">
        <f t="shared" ca="1" si="122"/>
        <v>49.684336332958381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IFERROR(__xludf.DUMMYFUNCTION("IMPORTRANGE(""https://docs.google.com/spreadsheets/d/11923uPwbBZFjjGgGUA6NLw09EwE0CqkOc4q9oUmW1yo/edit?usp=sharing"",""พะเยา!L462"")"),0)</f>
        <v>0</v>
      </c>
      <c r="M567" s="168"/>
      <c r="N567" s="168">
        <f ca="1">IFERROR(__xludf.DUMMYFUNCTION("IMPORTRANGE(""https://docs.google.com/spreadsheets/d/11923uPwbBZFjjGgGUA6NLw09EwE0CqkOc4q9oUmW1yo/edit?usp=sharing"",""พะเยา!M462"")"),0)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IFERROR(__xludf.DUMMYFUNCTION("IMPORTRANGE(""https://docs.google.com/spreadsheets/d/11923uPwbBZFjjGgGUA6NLw09EwE0CqkOc4q9oUmW1yo/edit?usp=sharing"",""พะเยา!L463"")"),142240)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IFERROR(__xludf.DUMMYFUNCTION("IMPORTRANGE(""https://docs.google.com/spreadsheets/d/11923uPwbBZFjjGgGUA6NLw09EwE0CqkOc4q9oUmW1yo/edit?usp=sharing"",""พะเยา!M463"")"),70671)</f>
        <v>70671</v>
      </c>
      <c r="O568" s="168">
        <f t="shared" ca="1" si="122"/>
        <v>49.684336332958381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IFERROR(__xludf.DUMMYFUNCTION("IMPORTRANGE(""https://docs.google.com/spreadsheets/d/11923uPwbBZFjjGgGUA6NLw09EwE0CqkOc4q9oUmW1yo/edit?usp=sharing"",""พะเยา!M464"")"),0)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IFERROR(__xludf.DUMMYFUNCTION("IMPORTRANGE(""https://docs.google.com/spreadsheets/d/11923uPwbBZFjjGgGUA6NLw09EwE0CqkOc4q9oUmW1yo/edit?usp=sharing"",""พะเยา!M465"")"),0)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IFERROR(__xludf.DUMMYFUNCTION("IMPORTRANGE(""https://docs.google.com/spreadsheets/d/11923uPwbBZFjjGgGUA6NLw09EwE0CqkOc4q9oUmW1yo/edit?usp=sharing"",""พะเยา!M466"")"),42899)</f>
        <v>42899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IFERROR(__xludf.DUMMYFUNCTION("IMPORTRANGE(""https://docs.google.com/spreadsheets/d/11923uPwbBZFjjGgGUA6NLw09EwE0CqkOc4q9oUmW1yo/edit?usp=sharing"",""พะเยา!M467"")"),27772)</f>
        <v>27772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IFERROR(__xludf.DUMMYFUNCTION("IMPORTRANGE(""https://docs.google.com/spreadsheets/d/11923uPwbBZFjjGgGUA6NLw09EwE0CqkOc4q9oUmW1yo/edit?usp=sharing"",""พะเยา!I468"")"),1950)</f>
        <v>1950</v>
      </c>
      <c r="J573" s="420">
        <f ca="1">IFERROR(__xludf.DUMMYFUNCTION("IMPORTRANGE(""https://docs.google.com/spreadsheets/d/11923uPwbBZFjjGgGUA6NLw09EwE0CqkOc4q9oUmW1yo/edit?usp=sharing"",""พะเยา!J468"")"),2582)</f>
        <v>2582</v>
      </c>
      <c r="K573" s="201">
        <f ca="1">IF(I573&gt;0,J573*100/I573,0)</f>
        <v>132.41025641025641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IFERROR(__xludf.DUMMYFUNCTION("IMPORTRANGE(""https://docs.google.com/spreadsheets/d/11923uPwbBZFjjGgGUA6NLw09EwE0CqkOc4q9oUmW1yo/edit?usp=sharing"",""พะเยา!I470"")"),0)</f>
        <v>0</v>
      </c>
      <c r="J575" s="197">
        <f ca="1">IFERROR(__xludf.DUMMYFUNCTION("IMPORTRANGE(""https://docs.google.com/spreadsheets/d/11923uPwbBZFjjGgGUA6NLw09EwE0CqkOc4q9oUmW1yo/edit?usp=sharing"",""พะเยา!J470"")"),2)</f>
        <v>2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IFERROR(__xludf.DUMMYFUNCTION("IMPORTRANGE(""https://docs.google.com/spreadsheets/d/11923uPwbBZFjjGgGUA6NLw09EwE0CqkOc4q9oUmW1yo/edit?usp=sharing"",""พะเยา!I471"")"),0)</f>
        <v>0</v>
      </c>
      <c r="J576" s="197">
        <f ca="1">IFERROR(__xludf.DUMMYFUNCTION("IMPORTRANGE(""https://docs.google.com/spreadsheets/d/11923uPwbBZFjjGgGUA6NLw09EwE0CqkOc4q9oUmW1yo/edit?usp=sharing"",""พะเยา!J471"")"),263)</f>
        <v>263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IFERROR(__xludf.DUMMYFUNCTION("IMPORTRANGE(""https://docs.google.com/spreadsheets/d/11923uPwbBZFjjGgGUA6NLw09EwE0CqkOc4q9oUmW1yo/edit?usp=sharing"",""พะเยา!I472"")"),0)</f>
        <v>0</v>
      </c>
      <c r="J577" s="188">
        <f ca="1">IFERROR(__xludf.DUMMYFUNCTION("IMPORTRANGE(""https://docs.google.com/spreadsheets/d/11923uPwbBZFjjGgGUA6NLw09EwE0CqkOc4q9oUmW1yo/edit?usp=sharing"",""พะเยา!J472"")"),2319)</f>
        <v>2319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IFERROR(__xludf.DUMMYFUNCTION("IMPORTRANGE(""https://docs.google.com/spreadsheets/d/11923uPwbBZFjjGgGUA6NLw09EwE0CqkOc4q9oUmW1yo/edit?usp=sharing"",""พะเยา!I473"")"),0)</f>
        <v>0</v>
      </c>
      <c r="J578" s="197">
        <f ca="1">IFERROR(__xludf.DUMMYFUNCTION("IMPORTRANGE(""https://docs.google.com/spreadsheets/d/11923uPwbBZFjjGgGUA6NLw09EwE0CqkOc4q9oUmW1yo/edit?usp=sharing"",""พะเยา!J473"")"),0)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IFERROR(__xludf.DUMMYFUNCTION("IMPORTRANGE(""https://docs.google.com/spreadsheets/d/11923uPwbBZFjjGgGUA6NLw09EwE0CqkOc4q9oUmW1yo/edit?usp=sharing"",""พะเยา!I474"")"),0)</f>
        <v>0</v>
      </c>
      <c r="J579" s="197">
        <f ca="1">IFERROR(__xludf.DUMMYFUNCTION("IMPORTRANGE(""https://docs.google.com/spreadsheets/d/11923uPwbBZFjjGgGUA6NLw09EwE0CqkOc4q9oUmW1yo/edit?usp=sharing"",""พะเยา!J474"")"),0)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IFERROR(__xludf.DUMMYFUNCTION("IMPORTRANGE(""https://docs.google.com/spreadsheets/d/11923uPwbBZFjjGgGUA6NLw09EwE0CqkOc4q9oUmW1yo/edit?usp=sharing"",""พะเยา!I475"")"),40)</f>
        <v>40</v>
      </c>
      <c r="J580" s="370">
        <f ca="1">IFERROR(__xludf.DUMMYFUNCTION("IMPORTRANGE(""https://docs.google.com/spreadsheets/d/11923uPwbBZFjjGgGUA6NLw09EwE0CqkOc4q9oUmW1yo/edit?usp=sharing"",""พะเยา!J475"")"),15)</f>
        <v>15</v>
      </c>
      <c r="K580" s="371">
        <f ca="1">IF(I580&gt;0,J580*100/I580,0)</f>
        <v>37.5</v>
      </c>
      <c r="L580" s="372">
        <f ca="1">IFERROR(__xludf.DUMMYFUNCTION("IMPORTRANGE(""https://docs.google.com/spreadsheets/d/11923uPwbBZFjjGgGUA6NLw09EwE0CqkOc4q9oUmW1yo/edit?usp=sharing"",""พะเยา!L475"")"),138840)</f>
        <v>138840</v>
      </c>
      <c r="M580" s="372"/>
      <c r="N580" s="372">
        <f ca="1">IFERROR(__xludf.DUMMYFUNCTION("IMPORTRANGE(""https://docs.google.com/spreadsheets/d/11923uPwbBZFjjGgGUA6NLw09EwE0CqkOc4q9oUmW1yo/edit?usp=sharing"",""พะเยา!M475"")"),0)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IFERROR(__xludf.DUMMYFUNCTION("IMPORTRANGE(""https://docs.google.com/spreadsheets/d/11923uPwbBZFjjGgGUA6NLw09EwE0CqkOc4q9oUmW1yo/edit?usp=sharing"",""พะเยา!L476"")"),0)</f>
        <v>0</v>
      </c>
      <c r="M581" s="164"/>
      <c r="N581" s="168">
        <f ca="1">IFERROR(__xludf.DUMMYFUNCTION("IMPORTRANGE(""https://docs.google.com/spreadsheets/d/11923uPwbBZFjjGgGUA6NLw09EwE0CqkOc4q9oUmW1yo/edit?usp=sharing"",""พะเยา!M476"")"),0)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IFERROR(__xludf.DUMMYFUNCTION("IMPORTRANGE(""https://docs.google.com/spreadsheets/d/11923uPwbBZFjjGgGUA6NLw09EwE0CqkOc4q9oUmW1yo/edit?usp=sharing"",""พะเยา!L477"")"),138840)</f>
        <v>138840</v>
      </c>
      <c r="M582" s="165"/>
      <c r="N582" s="168">
        <f ca="1">IFERROR(__xludf.DUMMYFUNCTION("IMPORTRANGE(""https://docs.google.com/spreadsheets/d/11923uPwbBZFjjGgGUA6NLw09EwE0CqkOc4q9oUmW1yo/edit?usp=sharing"",""พะเยา!M477"")"),0)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IFERROR(__xludf.DUMMYFUNCTION("IMPORTRANGE(""https://docs.google.com/spreadsheets/d/11923uPwbBZFjjGgGUA6NLw09EwE0CqkOc4q9oUmW1yo/edit?usp=sharing"",""พะเยา!L478"")"),0)</f>
        <v>0</v>
      </c>
      <c r="M583" s="168"/>
      <c r="N583" s="168">
        <f ca="1">IFERROR(__xludf.DUMMYFUNCTION("IMPORTRANGE(""https://docs.google.com/spreadsheets/d/11923uPwbBZFjjGgGUA6NLw09EwE0CqkOc4q9oUmW1yo/edit?usp=sharing"",""พะเยา!M478"")"),0)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IFERROR(__xludf.DUMMYFUNCTION("IMPORTRANGE(""https://docs.google.com/spreadsheets/d/11923uPwbBZFjjGgGUA6NLw09EwE0CqkOc4q9oUmW1yo/edit?usp=sharing"",""พะเยา!L479"")"),138840)</f>
        <v>138840</v>
      </c>
      <c r="M584" s="168"/>
      <c r="N584" s="168">
        <f ca="1">IFERROR(__xludf.DUMMYFUNCTION("IMPORTRANGE(""https://docs.google.com/spreadsheets/d/11923uPwbBZFjjGgGUA6NLw09EwE0CqkOc4q9oUmW1yo/edit?usp=sharing"",""พะเยา!M479"")"),0)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IFERROR(__xludf.DUMMYFUNCTION("IMPORTRANGE(""https://docs.google.com/spreadsheets/d/11923uPwbBZFjjGgGUA6NLw09EwE0CqkOc4q9oUmW1yo/edit?usp=sharing"",""พะเยา!M480"")"),0)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IFERROR(__xludf.DUMMYFUNCTION("IMPORTRANGE(""https://docs.google.com/spreadsheets/d/11923uPwbBZFjjGgGUA6NLw09EwE0CqkOc4q9oUmW1yo/edit?usp=sharing"",""พะเยา!M481"")"),0)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IFERROR(__xludf.DUMMYFUNCTION("IMPORTRANGE(""https://docs.google.com/spreadsheets/d/11923uPwbBZFjjGgGUA6NLw09EwE0CqkOc4q9oUmW1yo/edit?usp=sharing"",""พะเยา!M482"")"),0)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IFERROR(__xludf.DUMMYFUNCTION("IMPORTRANGE(""https://docs.google.com/spreadsheets/d/11923uPwbBZFjjGgGUA6NLw09EwE0CqkOc4q9oUmW1yo/edit?usp=sharing"",""พะเยา!M483"")"),0)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IFERROR(__xludf.DUMMYFUNCTION("IMPORTRANGE(""https://docs.google.com/spreadsheets/d/11923uPwbBZFjjGgGUA6NLw09EwE0CqkOc4q9oUmW1yo/edit?usp=sharing"",""พะเยา!I484"")"),40)</f>
        <v>40</v>
      </c>
      <c r="J589" s="187">
        <f ca="1">IFERROR(__xludf.DUMMYFUNCTION("IMPORTRANGE(""https://docs.google.com/spreadsheets/d/11923uPwbBZFjjGgGUA6NLw09EwE0CqkOc4q9oUmW1yo/edit?usp=sharing"",""พะเยา!J484"")"),4)</f>
        <v>4</v>
      </c>
      <c r="K589" s="163">
        <f t="shared" ref="K589:K596" ca="1" si="125">IF(I589&gt;0,J589*100/I589,0)</f>
        <v>10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IFERROR(__xludf.DUMMYFUNCTION("IMPORTRANGE(""https://docs.google.com/spreadsheets/d/11923uPwbBZFjjGgGUA6NLw09EwE0CqkOc4q9oUmW1yo/edit?usp=sharing"",""พะเยา!I485"")"),0)</f>
        <v>0</v>
      </c>
      <c r="J590" s="187">
        <f ca="1">IFERROR(__xludf.DUMMYFUNCTION("IMPORTRANGE(""https://docs.google.com/spreadsheets/d/11923uPwbBZFjjGgGUA6NLw09EwE0CqkOc4q9oUmW1yo/edit?usp=sharing"",""พะเยา!J485"")"),1.15)</f>
        <v>1.1499999999999999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IFERROR(__xludf.DUMMYFUNCTION("IMPORTRANGE(""https://docs.google.com/spreadsheets/d/11923uPwbBZFjjGgGUA6NLw09EwE0CqkOc4q9oUmW1yo/edit?usp=sharing"",""พะเยา!I486"")"),40)</f>
        <v>40</v>
      </c>
      <c r="J591" s="187">
        <f ca="1">IFERROR(__xludf.DUMMYFUNCTION("IMPORTRANGE(""https://docs.google.com/spreadsheets/d/11923uPwbBZFjjGgGUA6NLw09EwE0CqkOc4q9oUmW1yo/edit?usp=sharing"",""พะเยา!J486"")"),13)</f>
        <v>13</v>
      </c>
      <c r="K591" s="163">
        <f t="shared" ca="1" si="125"/>
        <v>32.5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IFERROR(__xludf.DUMMYFUNCTION("IMPORTRANGE(""https://docs.google.com/spreadsheets/d/11923uPwbBZFjjGgGUA6NLw09EwE0CqkOc4q9oUmW1yo/edit?usp=sharing"",""พะเยา!I487"")"),0)</f>
        <v>0</v>
      </c>
      <c r="J592" s="187">
        <f ca="1">IFERROR(__xludf.DUMMYFUNCTION("IMPORTRANGE(""https://docs.google.com/spreadsheets/d/11923uPwbBZFjjGgGUA6NLw09EwE0CqkOc4q9oUmW1yo/edit?usp=sharing"",""พะเยา!J487"")"),6.06)</f>
        <v>6.06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IFERROR(__xludf.DUMMYFUNCTION("IMPORTRANGE(""https://docs.google.com/spreadsheets/d/11923uPwbBZFjjGgGUA6NLw09EwE0CqkOc4q9oUmW1yo/edit?usp=sharing"",""พะเยา!I488"")"),40)</f>
        <v>40</v>
      </c>
      <c r="J593" s="187">
        <f ca="1">IFERROR(__xludf.DUMMYFUNCTION("IMPORTRANGE(""https://docs.google.com/spreadsheets/d/11923uPwbBZFjjGgGUA6NLw09EwE0CqkOc4q9oUmW1yo/edit?usp=sharing"",""พะเยา!J488"")"),1)</f>
        <v>1</v>
      </c>
      <c r="K593" s="163">
        <f t="shared" ca="1" si="125"/>
        <v>2.5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IFERROR(__xludf.DUMMYFUNCTION("IMPORTRANGE(""https://docs.google.com/spreadsheets/d/11923uPwbBZFjjGgGUA6NLw09EwE0CqkOc4q9oUmW1yo/edit?usp=sharing"",""พะเยา!I489"")"),0)</f>
        <v>0</v>
      </c>
      <c r="J594" s="187">
        <f ca="1">IFERROR(__xludf.DUMMYFUNCTION("IMPORTRANGE(""https://docs.google.com/spreadsheets/d/11923uPwbBZFjjGgGUA6NLw09EwE0CqkOc4q9oUmW1yo/edit?usp=sharing"",""พะเยา!J489"")"),0.31)</f>
        <v>0.31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IFERROR(__xludf.DUMMYFUNCTION("IMPORTRANGE(""https://docs.google.com/spreadsheets/d/11923uPwbBZFjjGgGUA6NLw09EwE0CqkOc4q9oUmW1yo/edit?usp=sharing"",""พะเยา!I490"")"),40)</f>
        <v>40</v>
      </c>
      <c r="J595" s="187">
        <f ca="1">IFERROR(__xludf.DUMMYFUNCTION("IMPORTRANGE(""https://docs.google.com/spreadsheets/d/11923uPwbBZFjjGgGUA6NLw09EwE0CqkOc4q9oUmW1yo/edit?usp=sharing"",""พะเยา!J490"")"),15)</f>
        <v>15</v>
      </c>
      <c r="K595" s="163">
        <f t="shared" ca="1" si="125"/>
        <v>37.5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IFERROR(__xludf.DUMMYFUNCTION("IMPORTRANGE(""https://docs.google.com/spreadsheets/d/11923uPwbBZFjjGgGUA6NLw09EwE0CqkOc4q9oUmW1yo/edit?usp=sharing"",""พะเยา!I491"")"),0)</f>
        <v>0</v>
      </c>
      <c r="J596" s="241">
        <f ca="1">IFERROR(__xludf.DUMMYFUNCTION("IMPORTRANGE(""https://docs.google.com/spreadsheets/d/11923uPwbBZFjjGgGUA6NLw09EwE0CqkOc4q9oUmW1yo/edit?usp=sharing"",""พะเยา!J491"")"),6.65)</f>
        <v>6.65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IFERROR(__xludf.DUMMYFUNCTION("IMPORTRANGE(""https://docs.google.com/spreadsheets/d/11923uPwbBZFjjGgGUA6NLw09EwE0CqkOc4q9oUmW1yo/edit?usp=sharing"",""พะเยา!I492"")"),150)</f>
        <v>150</v>
      </c>
      <c r="J597" s="487">
        <f ca="1">IFERROR(__xludf.DUMMYFUNCTION("IMPORTRANGE(""https://docs.google.com/spreadsheets/d/11923uPwbBZFjjGgGUA6NLw09EwE0CqkOc4q9oUmW1yo/edit?usp=sharing"",""พะเยา!J492"")"),0)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IFERROR(__xludf.DUMMYFUNCTION("IMPORTRANGE(""https://docs.google.com/spreadsheets/d/11923uPwbBZFjjGgGUA6NLw09EwE0CqkOc4q9oUmW1yo/edit?usp=sharing"",""พะเยา!L492"")"),14050)</f>
        <v>14050</v>
      </c>
      <c r="M597" s="411"/>
      <c r="N597" s="411">
        <f ca="1">IFERROR(__xludf.DUMMYFUNCTION("IMPORTRANGE(""https://docs.google.com/spreadsheets/d/11923uPwbBZFjjGgGUA6NLw09EwE0CqkOc4q9oUmW1yo/edit?usp=sharing"",""พะเยา!M492"")"),2100)</f>
        <v>2100</v>
      </c>
      <c r="O597" s="411">
        <f t="shared" ref="O597:O601" ca="1" si="126">+IF(L597&gt;0,N597*100/L597,0)</f>
        <v>14.946619217081851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IFERROR(__xludf.DUMMYFUNCTION("IMPORTRANGE(""https://docs.google.com/spreadsheets/d/11923uPwbBZFjjGgGUA6NLw09EwE0CqkOc4q9oUmW1yo/edit?usp=sharing"",""พะเยา!L493"")"),0)</f>
        <v>0</v>
      </c>
      <c r="M598" s="164"/>
      <c r="N598" s="168">
        <f ca="1">IFERROR(__xludf.DUMMYFUNCTION("IMPORTRANGE(""https://docs.google.com/spreadsheets/d/11923uPwbBZFjjGgGUA6NLw09EwE0CqkOc4q9oUmW1yo/edit?usp=sharing"",""พะเยา!M493"")"),0)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IFERROR(__xludf.DUMMYFUNCTION("IMPORTRANGE(""https://docs.google.com/spreadsheets/d/11923uPwbBZFjjGgGUA6NLw09EwE0CqkOc4q9oUmW1yo/edit?usp=sharing"",""พะเยา!L494"")"),14050)</f>
        <v>14050</v>
      </c>
      <c r="M599" s="165"/>
      <c r="N599" s="168">
        <f ca="1">IFERROR(__xludf.DUMMYFUNCTION("IMPORTRANGE(""https://docs.google.com/spreadsheets/d/11923uPwbBZFjjGgGUA6NLw09EwE0CqkOc4q9oUmW1yo/edit?usp=sharing"",""พะเยา!M494"")"),2100)</f>
        <v>2100</v>
      </c>
      <c r="O599" s="168">
        <f t="shared" ca="1" si="126"/>
        <v>14.946619217081851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IFERROR(__xludf.DUMMYFUNCTION("IMPORTRANGE(""https://docs.google.com/spreadsheets/d/11923uPwbBZFjjGgGUA6NLw09EwE0CqkOc4q9oUmW1yo/edit?usp=sharing"",""พะเยา!L495"")"),0)</f>
        <v>0</v>
      </c>
      <c r="M600" s="168"/>
      <c r="N600" s="168">
        <f ca="1">IFERROR(__xludf.DUMMYFUNCTION("IMPORTRANGE(""https://docs.google.com/spreadsheets/d/11923uPwbBZFjjGgGUA6NLw09EwE0CqkOc4q9oUmW1yo/edit?usp=sharing"",""พะเยา!M495"")"),0)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IFERROR(__xludf.DUMMYFUNCTION("IMPORTRANGE(""https://docs.google.com/spreadsheets/d/11923uPwbBZFjjGgGUA6NLw09EwE0CqkOc4q9oUmW1yo/edit?usp=sharing"",""พะเยา!L496"")"),14050)</f>
        <v>14050</v>
      </c>
      <c r="M601" s="168"/>
      <c r="N601" s="168">
        <f ca="1">IFERROR(__xludf.DUMMYFUNCTION("IMPORTRANGE(""https://docs.google.com/spreadsheets/d/11923uPwbBZFjjGgGUA6NLw09EwE0CqkOc4q9oUmW1yo/edit?usp=sharing"",""พะเยา!M496"")"),2100)</f>
        <v>2100</v>
      </c>
      <c r="O601" s="168">
        <f t="shared" ca="1" si="126"/>
        <v>14.946619217081851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IFERROR(__xludf.DUMMYFUNCTION("IMPORTRANGE(""https://docs.google.com/spreadsheets/d/11923uPwbBZFjjGgGUA6NLw09EwE0CqkOc4q9oUmW1yo/edit?usp=sharing"",""พะเยา!M497"")"),0)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IFERROR(__xludf.DUMMYFUNCTION("IMPORTRANGE(""https://docs.google.com/spreadsheets/d/11923uPwbBZFjjGgGUA6NLw09EwE0CqkOc4q9oUmW1yo/edit?usp=sharing"",""พะเยา!M498"")"),0)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IFERROR(__xludf.DUMMYFUNCTION("IMPORTRANGE(""https://docs.google.com/spreadsheets/d/11923uPwbBZFjjGgGUA6NLw09EwE0CqkOc4q9oUmW1yo/edit?usp=sharing"",""พะเยา!M499"")"),0)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IFERROR(__xludf.DUMMYFUNCTION("IMPORTRANGE(""https://docs.google.com/spreadsheets/d/11923uPwbBZFjjGgGUA6NLw09EwE0CqkOc4q9oUmW1yo/edit?usp=sharing"",""พะเยา!M500"")"),2100)</f>
        <v>2100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IFERROR(__xludf.DUMMYFUNCTION("IMPORTRANGE(""https://docs.google.com/spreadsheets/d/11923uPwbBZFjjGgGUA6NLw09EwE0CqkOc4q9oUmW1yo/edit?usp=sharing"",""พะเยา!J502"")"),0)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IFERROR(__xludf.DUMMYFUNCTION("IMPORTRANGE(""https://docs.google.com/spreadsheets/d/11923uPwbBZFjjGgGUA6NLw09EwE0CqkOc4q9oUmW1yo/edit?usp=sharing"",""พะเยา!J503"")"),1)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IFERROR(__xludf.DUMMYFUNCTION("IMPORTRANGE(""https://docs.google.com/spreadsheets/d/11923uPwbBZFjjGgGUA6NLw09EwE0CqkOc4q9oUmW1yo/edit?usp=sharing"",""พะเยา!J166"")"),0)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IFERROR(__xludf.DUMMYFUNCTION("IMPORTRANGE(""https://docs.google.com/spreadsheets/d/11923uPwbBZFjjGgGUA6NLw09EwE0CqkOc4q9oUmW1yo/edit?usp=sharing"",""พะเยา!J166"")"),0)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IFERROR(__xludf.DUMMYFUNCTION("IMPORTRANGE(""https://docs.google.com/spreadsheets/d/11923uPwbBZFjjGgGUA6NLw09EwE0CqkOc4q9oUmW1yo/edit?usp=sharing"",""พะเยา!I506"")"),150)</f>
        <v>150</v>
      </c>
      <c r="J611" s="162">
        <f ca="1">IFERROR(__xludf.DUMMYFUNCTION("IMPORTRANGE(""https://docs.google.com/spreadsheets/d/11923uPwbBZFjjGgGUA6NLw09EwE0CqkOc4q9oUmW1yo/edit?usp=sharing"",""พะเยา!J506"")"),0)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IFERROR(__xludf.DUMMYFUNCTION("IMPORTRANGE(""https://docs.google.com/spreadsheets/d/11923uPwbBZFjjGgGUA6NLw09EwE0CqkOc4q9oUmW1yo/edit?usp=sharing"",""พะเยา!I507"")"),0)</f>
        <v>0</v>
      </c>
      <c r="J612" s="197">
        <f ca="1">IFERROR(__xludf.DUMMYFUNCTION("IMPORTRANGE(""https://docs.google.com/spreadsheets/d/11923uPwbBZFjjGgGUA6NLw09EwE0CqkOc4q9oUmW1yo/edit?usp=sharing"",""พะเยา!J507"")"),0)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IFERROR(__xludf.DUMMYFUNCTION("IMPORTRANGE(""https://docs.google.com/spreadsheets/d/11923uPwbBZFjjGgGUA6NLw09EwE0CqkOc4q9oUmW1yo/edit?usp=sharing"",""พะเยา!I508"")"),0)</f>
        <v>0</v>
      </c>
      <c r="J613" s="197">
        <f ca="1">IFERROR(__xludf.DUMMYFUNCTION("IMPORTRANGE(""https://docs.google.com/spreadsheets/d/11923uPwbBZFjjGgGUA6NLw09EwE0CqkOc4q9oUmW1yo/edit?usp=sharing"",""พะเยา!J508"")"),0)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IFERROR(__xludf.DUMMYFUNCTION("IMPORTRANGE(""https://docs.google.com/spreadsheets/d/11923uPwbBZFjjGgGUA6NLw09EwE0CqkOc4q9oUmW1yo/edit?usp=sharing"",""พะเยา!I509"")"),0)</f>
        <v>0</v>
      </c>
      <c r="J614" s="197">
        <f ca="1">IFERROR(__xludf.DUMMYFUNCTION("IMPORTRANGE(""https://docs.google.com/spreadsheets/d/11923uPwbBZFjjGgGUA6NLw09EwE0CqkOc4q9oUmW1yo/edit?usp=sharing"",""พะเยา!J509"")"),0)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IFERROR(__xludf.DUMMYFUNCTION("IMPORTRANGE(""https://docs.google.com/spreadsheets/d/11923uPwbBZFjjGgGUA6NLw09EwE0CqkOc4q9oUmW1yo/edit?usp=sharing"",""พะเยา!I510"")"),0)</f>
        <v>0</v>
      </c>
      <c r="J615" s="197">
        <f ca="1">IFERROR(__xludf.DUMMYFUNCTION("IMPORTRANGE(""https://docs.google.com/spreadsheets/d/11923uPwbBZFjjGgGUA6NLw09EwE0CqkOc4q9oUmW1yo/edit?usp=sharing"",""พะเยา!J510"")"),0)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IFERROR(__xludf.DUMMYFUNCTION("IMPORTRANGE(""https://docs.google.com/spreadsheets/d/11923uPwbBZFjjGgGUA6NLw09EwE0CqkOc4q9oUmW1yo/edit?usp=sharing"",""พะเยา!I511"")"),0)</f>
        <v>0</v>
      </c>
      <c r="J616" s="197">
        <f ca="1">IFERROR(__xludf.DUMMYFUNCTION("IMPORTRANGE(""https://docs.google.com/spreadsheets/d/11923uPwbBZFjjGgGUA6NLw09EwE0CqkOc4q9oUmW1yo/edit?usp=sharing"",""พะเยา!J511"")"),0)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IFERROR(__xludf.DUMMYFUNCTION("IMPORTRANGE(""https://docs.google.com/spreadsheets/d/11923uPwbBZFjjGgGUA6NLw09EwE0CqkOc4q9oUmW1yo/edit?usp=sharing"",""พะเยา!I512"")"),0)</f>
        <v>0</v>
      </c>
      <c r="J617" s="187">
        <f ca="1">IFERROR(__xludf.DUMMYFUNCTION("IMPORTRANGE(""https://docs.google.com/spreadsheets/d/11923uPwbBZFjjGgGUA6NLw09EwE0CqkOc4q9oUmW1yo/edit?usp=sharing"",""พะเยา!J512"")"),0)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IFERROR(__xludf.DUMMYFUNCTION("IMPORTRANGE(""https://docs.google.com/spreadsheets/d/11923uPwbBZFjjGgGUA6NLw09EwE0CqkOc4q9oUmW1yo/edit?usp=sharing"",""พะเยา!I513"")"),0)</f>
        <v>0</v>
      </c>
      <c r="J618" s="188">
        <f ca="1">IFERROR(__xludf.DUMMYFUNCTION("IMPORTRANGE(""https://docs.google.com/spreadsheets/d/11923uPwbBZFjjGgGUA6NLw09EwE0CqkOc4q9oUmW1yo/edit?usp=sharing"",""พะเยา!J513"")"),0)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IFERROR(__xludf.DUMMYFUNCTION("IMPORTRANGE(""https://docs.google.com/spreadsheets/d/11923uPwbBZFjjGgGUA6NLw09EwE0CqkOc4q9oUmW1yo/edit?usp=sharing"",""พะเยา!I514"")"),0)</f>
        <v>0</v>
      </c>
      <c r="J619" s="188">
        <f ca="1">IFERROR(__xludf.DUMMYFUNCTION("IMPORTRANGE(""https://docs.google.com/spreadsheets/d/11923uPwbBZFjjGgGUA6NLw09EwE0CqkOc4q9oUmW1yo/edit?usp=sharing"",""พะเยา!J514"")"),0)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IFERROR(__xludf.DUMMYFUNCTION("IMPORTRANGE(""https://docs.google.com/spreadsheets/d/11923uPwbBZFjjGgGUA6NLw09EwE0CqkOc4q9oUmW1yo/edit?usp=sharing"",""พะเยา!I515"")"),0)</f>
        <v>0</v>
      </c>
      <c r="J620" s="202">
        <f ca="1">IFERROR(__xludf.DUMMYFUNCTION("IMPORTRANGE(""https://docs.google.com/spreadsheets/d/11923uPwbBZFjjGgGUA6NLw09EwE0CqkOc4q9oUmW1yo/edit?usp=sharing"",""พะเยา!J515"")"),0)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IFERROR(__xludf.DUMMYFUNCTION("IMPORTRANGE(""https://docs.google.com/spreadsheets/d/11923uPwbBZFjjGgGUA6NLw09EwE0CqkOc4q9oUmW1yo/edit?usp=sharing"",""พะเยา!I516"")"),0)</f>
        <v>0</v>
      </c>
      <c r="J621" s="202">
        <f ca="1">IFERROR(__xludf.DUMMYFUNCTION("IMPORTRANGE(""https://docs.google.com/spreadsheets/d/11923uPwbBZFjjGgGUA6NLw09EwE0CqkOc4q9oUmW1yo/edit?usp=sharing"",""พะเยา!J516"")"),0)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IFERROR(__xludf.DUMMYFUNCTION("IMPORTRANGE(""https://docs.google.com/spreadsheets/d/11923uPwbBZFjjGgGUA6NLw09EwE0CqkOc4q9oUmW1yo/edit?usp=sharing"",""พะเยา!I517"")"),0)</f>
        <v>0</v>
      </c>
      <c r="J622" s="188">
        <f ca="1">IFERROR(__xludf.DUMMYFUNCTION("IMPORTRANGE(""https://docs.google.com/spreadsheets/d/11923uPwbBZFjjGgGUA6NLw09EwE0CqkOc4q9oUmW1yo/edit?usp=sharing"",""พะเยา!J517"")"),0)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IFERROR(__xludf.DUMMYFUNCTION("IMPORTRANGE(""https://docs.google.com/spreadsheets/d/11923uPwbBZFjjGgGUA6NLw09EwE0CqkOc4q9oUmW1yo/edit?usp=sharing"",""พะเยา!I518"")"),0)</f>
        <v>0</v>
      </c>
      <c r="J623" s="188">
        <f ca="1">IFERROR(__xludf.DUMMYFUNCTION("IMPORTRANGE(""https://docs.google.com/spreadsheets/d/11923uPwbBZFjjGgGUA6NLw09EwE0CqkOc4q9oUmW1yo/edit?usp=sharing"",""พะเยา!J518"")"),0)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IFERROR(__xludf.DUMMYFUNCTION("IMPORTRANGE(""https://docs.google.com/spreadsheets/d/11923uPwbBZFjjGgGUA6NLw09EwE0CqkOc4q9oUmW1yo/edit?usp=sharing"",""พะเยา!I519"")"),0)</f>
        <v>0</v>
      </c>
      <c r="J624" s="187">
        <f ca="1">IFERROR(__xludf.DUMMYFUNCTION("IMPORTRANGE(""https://docs.google.com/spreadsheets/d/11923uPwbBZFjjGgGUA6NLw09EwE0CqkOc4q9oUmW1yo/edit?usp=sharing"",""พะเยา!J519"")"),0)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IFERROR(__xludf.DUMMYFUNCTION("IMPORTRANGE(""https://docs.google.com/spreadsheets/d/11923uPwbBZFjjGgGUA6NLw09EwE0CqkOc4q9oUmW1yo/edit?usp=sharing"",""พะเยา!I520"")"),0)</f>
        <v>0</v>
      </c>
      <c r="J625" s="188">
        <f ca="1">IFERROR(__xludf.DUMMYFUNCTION("IMPORTRANGE(""https://docs.google.com/spreadsheets/d/11923uPwbBZFjjGgGUA6NLw09EwE0CqkOc4q9oUmW1yo/edit?usp=sharing"",""พะเยา!J520"")"),0)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IFERROR(__xludf.DUMMYFUNCTION("IMPORTRANGE(""https://docs.google.com/spreadsheets/d/11923uPwbBZFjjGgGUA6NLw09EwE0CqkOc4q9oUmW1yo/edit?usp=sharing"",""พะเยา!I521"")"),0)</f>
        <v>0</v>
      </c>
      <c r="J626" s="188">
        <f ca="1">IFERROR(__xludf.DUMMYFUNCTION("IMPORTRANGE(""https://docs.google.com/spreadsheets/d/11923uPwbBZFjjGgGUA6NLw09EwE0CqkOc4q9oUmW1yo/edit?usp=sharing"",""พะเยา!J521"")"),0)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IFERROR(__xludf.DUMMYFUNCTION("IMPORTRANGE(""https://docs.google.com/spreadsheets/d/11923uPwbBZFjjGgGUA6NLw09EwE0CqkOc4q9oUmW1yo/edit?usp=sharing"",""พะเยา!I523"")"),4799661.59)</f>
        <v>4799661.59</v>
      </c>
      <c r="J628" s="341">
        <f ca="1">IFERROR(__xludf.DUMMYFUNCTION("IMPORTRANGE(""https://docs.google.com/spreadsheets/d/11923uPwbBZFjjGgGUA6NLw09EwE0CqkOc4q9oUmW1yo/edit?usp=sharing"",""พะเยา!J523"")"),3195141.15)</f>
        <v>3195141.15</v>
      </c>
      <c r="K628" s="342">
        <f t="shared" ref="K628:K635" ca="1" si="129">IF(I628&gt;0,J628*100/I628,0)</f>
        <v>66.570133958131834</v>
      </c>
      <c r="L628" s="342"/>
      <c r="M628" s="342"/>
      <c r="N628" s="342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IFERROR(__xludf.DUMMYFUNCTION("IMPORTRANGE(""https://docs.google.com/spreadsheets/d/11923uPwbBZFjjGgGUA6NLw09EwE0CqkOc4q9oUmW1yo/edit?usp=sharing"",""พะเยา!I524"")"),454)</f>
        <v>454</v>
      </c>
      <c r="J629" s="341">
        <f ca="1">IFERROR(__xludf.DUMMYFUNCTION("IMPORTRANGE(""https://docs.google.com/spreadsheets/d/11923uPwbBZFjjGgGUA6NLw09EwE0CqkOc4q9oUmW1yo/edit?usp=sharing"",""พะเยา!J524"")"),310)</f>
        <v>310</v>
      </c>
      <c r="K629" s="342">
        <f t="shared" ca="1" si="129"/>
        <v>68.281938325991192</v>
      </c>
      <c r="L629" s="342"/>
      <c r="M629" s="342"/>
      <c r="N629" s="342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IFERROR(__xludf.DUMMYFUNCTION("IMPORTRANGE(""https://docs.google.com/spreadsheets/d/11923uPwbBZFjjGgGUA6NLw09EwE0CqkOc4q9oUmW1yo/edit?usp=sharing"",""พะเยา!I525"")"),9920324.39)</f>
        <v>9920324.3900000006</v>
      </c>
      <c r="J630" s="341">
        <f ca="1">IFERROR(__xludf.DUMMYFUNCTION("IMPORTRANGE(""https://docs.google.com/spreadsheets/d/11923uPwbBZFjjGgGUA6NLw09EwE0CqkOc4q9oUmW1yo/edit?usp=sharing"",""พะเยา!J525"")"),553777.52)</f>
        <v>553777.52</v>
      </c>
      <c r="K630" s="342">
        <f t="shared" ca="1" si="129"/>
        <v>5.5822521343981979</v>
      </c>
      <c r="L630" s="342"/>
      <c r="M630" s="342"/>
      <c r="N630" s="342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IFERROR(__xludf.DUMMYFUNCTION("IMPORTRANGE(""https://docs.google.com/spreadsheets/d/11923uPwbBZFjjGgGUA6NLw09EwE0CqkOc4q9oUmW1yo/edit?usp=sharing"",""พะเยา!I526"")"),332)</f>
        <v>332</v>
      </c>
      <c r="J631" s="341">
        <f ca="1">IFERROR(__xludf.DUMMYFUNCTION("IMPORTRANGE(""https://docs.google.com/spreadsheets/d/11923uPwbBZFjjGgGUA6NLw09EwE0CqkOc4q9oUmW1yo/edit?usp=sharing"",""พะเยา!J526"")"),95)</f>
        <v>95</v>
      </c>
      <c r="K631" s="342">
        <f t="shared" ca="1" si="129"/>
        <v>28.6144578313253</v>
      </c>
      <c r="L631" s="342"/>
      <c r="M631" s="342"/>
      <c r="N631" s="342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IFERROR(__xludf.DUMMYFUNCTION("IMPORTRANGE(""https://docs.google.com/spreadsheets/d/11923uPwbBZFjjGgGUA6NLw09EwE0CqkOc4q9oUmW1yo/edit?usp=sharing"",""พะเยา!I527"")"),61819.65)</f>
        <v>61819.65</v>
      </c>
      <c r="J632" s="341">
        <f ca="1">IFERROR(__xludf.DUMMYFUNCTION("IMPORTRANGE(""https://docs.google.com/spreadsheets/d/11923uPwbBZFjjGgGUA6NLw09EwE0CqkOc4q9oUmW1yo/edit?usp=sharing"",""พะเยา!J527"")"),2100)</f>
        <v>2100</v>
      </c>
      <c r="K632" s="342">
        <f t="shared" ca="1" si="129"/>
        <v>3.3969781452984606</v>
      </c>
      <c r="L632" s="342"/>
      <c r="M632" s="342"/>
      <c r="N632" s="342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IFERROR(__xludf.DUMMYFUNCTION("IMPORTRANGE(""https://docs.google.com/spreadsheets/d/11923uPwbBZFjjGgGUA6NLw09EwE0CqkOc4q9oUmW1yo/edit?usp=sharing"",""พะเยา!I528"")"),107)</f>
        <v>107</v>
      </c>
      <c r="J633" s="341">
        <f ca="1">IFERROR(__xludf.DUMMYFUNCTION("IMPORTRANGE(""https://docs.google.com/spreadsheets/d/11923uPwbBZFjjGgGUA6NLw09EwE0CqkOc4q9oUmW1yo/edit?usp=sharing"",""พะเยา!J528"")"),2)</f>
        <v>2</v>
      </c>
      <c r="K633" s="342">
        <f t="shared" ca="1" si="129"/>
        <v>1.8691588785046729</v>
      </c>
      <c r="L633" s="342"/>
      <c r="M633" s="342"/>
      <c r="N633" s="342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IFERROR(__xludf.DUMMYFUNCTION("IMPORTRANGE(""https://docs.google.com/spreadsheets/d/11923uPwbBZFjjGgGUA6NLw09EwE0CqkOc4q9oUmW1yo/edit?usp=sharing"",""พะเยา!I529"")"),6000000)</f>
        <v>6000000</v>
      </c>
      <c r="J634" s="341">
        <f ca="1">IFERROR(__xludf.DUMMYFUNCTION("IMPORTRANGE(""https://docs.google.com/spreadsheets/d/11923uPwbBZFjjGgGUA6NLw09EwE0CqkOc4q9oUmW1yo/edit?usp=sharing"",""พะเยา!J529"")"),3630000)</f>
        <v>3630000</v>
      </c>
      <c r="K634" s="342">
        <f t="shared" ca="1" si="129"/>
        <v>60.5</v>
      </c>
      <c r="L634" s="342"/>
      <c r="M634" s="342"/>
      <c r="N634" s="342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IFERROR(__xludf.DUMMYFUNCTION("IMPORTRANGE(""https://docs.google.com/spreadsheets/d/11923uPwbBZFjjGgGUA6NLw09EwE0CqkOc4q9oUmW1yo/edit?usp=sharing"",""พะเยา!I530"")"),120)</f>
        <v>120</v>
      </c>
      <c r="J635" s="504">
        <f ca="1">IFERROR(__xludf.DUMMYFUNCTION("IMPORTRANGE(""https://docs.google.com/spreadsheets/d/11923uPwbBZFjjGgGUA6NLw09EwE0CqkOc4q9oUmW1yo/edit?usp=sharing"",""พะเยา!J530"")"),75)</f>
        <v>75</v>
      </c>
      <c r="K635" s="486">
        <f t="shared" ca="1" si="129"/>
        <v>62.5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5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5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IFERROR(__xludf.DUMMYFUNCTION("IMPORTRANGE(""https://docs.google.com/spreadsheets/d/11923uPwbBZFjjGgGUA6NLw09EwE0CqkOc4q9oUmW1yo/edit?usp=sharing"",""พะเยา!J541"")"),0)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5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IFERROR(__xludf.DUMMYFUNCTION("IMPORTRANGE(""https://docs.google.com/spreadsheets/d/11923uPwbBZFjjGgGUA6NLw09EwE0CqkOc4q9oUmW1yo/edit?usp=sharing"",""พะเยา!J542"")"),0)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5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IFERROR(__xludf.DUMMYFUNCTION("IMPORTRANGE(""https://docs.google.com/spreadsheets/d/11923uPwbBZFjjGgGUA6NLw09EwE0CqkOc4q9oUmW1yo/edit?usp=sharing"",""พะเยา!I543"")"),0)</f>
        <v>0</v>
      </c>
      <c r="J648" s="535">
        <f ca="1">IFERROR(__xludf.DUMMYFUNCTION("IMPORTRANGE(""https://docs.google.com/spreadsheets/d/11923uPwbBZFjjGgGUA6NLw09EwE0CqkOc4q9oUmW1yo/edit?usp=sharing"",""พะเยา!J543"")"),0)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IFERROR(__xludf.DUMMYFUNCTION("IMPORTRANGE(""https://docs.google.com/spreadsheets/d/11923uPwbBZFjjGgGUA6NLw09EwE0CqkOc4q9oUmW1yo/edit?usp=sharing"",""พะเยา!L543"")"),0)</f>
        <v>0</v>
      </c>
      <c r="M648" s="520"/>
      <c r="N648" s="537">
        <f ca="1">IFERROR(__xludf.DUMMYFUNCTION("IMPORTRANGE(""https://docs.google.com/spreadsheets/d/11923uPwbBZFjjGgGUA6NLw09EwE0CqkOc4q9oUmW1yo/edit?usp=sharing"",""พะเยา!M543"")"),0)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5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IFERROR(__xludf.DUMMYFUNCTION("IMPORTRANGE(""https://docs.google.com/spreadsheets/d/11923uPwbBZFjjGgGUA6NLw09EwE0CqkOc4q9oUmW1yo/edit?usp=sharing"",""พะเยา!I544"")"),0)</f>
        <v>0</v>
      </c>
      <c r="J649" s="535">
        <f ca="1">IFERROR(__xludf.DUMMYFUNCTION("IMPORTRANGE(""https://docs.google.com/spreadsheets/d/11923uPwbBZFjjGgGUA6NLw09EwE0CqkOc4q9oUmW1yo/edit?usp=sharing"",""พะเยา!J544"")"),0)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IFERROR(__xludf.DUMMYFUNCTION("IMPORTRANGE(""https://docs.google.com/spreadsheets/d/11923uPwbBZFjjGgGUA6NLw09EwE0CqkOc4q9oUmW1yo/edit?usp=sharing"",""พะเยา!L544"")"),0)</f>
        <v>0</v>
      </c>
      <c r="M649" s="520"/>
      <c r="N649" s="537">
        <f ca="1">IFERROR(__xludf.DUMMYFUNCTION("IMPORTRANGE(""https://docs.google.com/spreadsheets/d/11923uPwbBZFjjGgGUA6NLw09EwE0CqkOc4q9oUmW1yo/edit?usp=sharing"",""พะเยา!M544"")"),0)</f>
        <v>0</v>
      </c>
      <c r="O649" s="536">
        <f t="shared" ca="1" si="132"/>
        <v>0</v>
      </c>
      <c r="P649" s="536"/>
    </row>
    <row r="650" spans="1:16" ht="21.75" customHeight="1" x14ac:dyDescent="0.45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IFERROR(__xludf.DUMMYFUNCTION("IMPORTRANGE(""https://docs.google.com/spreadsheets/d/11923uPwbBZFjjGgGUA6NLw09EwE0CqkOc4q9oUmW1yo/edit?usp=sharing"",""พะเยา!I545"")"),0)</f>
        <v>0</v>
      </c>
      <c r="J650" s="535">
        <f ca="1">IFERROR(__xludf.DUMMYFUNCTION("IMPORTRANGE(""https://docs.google.com/spreadsheets/d/11923uPwbBZFjjGgGUA6NLw09EwE0CqkOc4q9oUmW1yo/edit?usp=sharing"",""พะเยา!J545"")"),0)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IFERROR(__xludf.DUMMYFUNCTION("IMPORTRANGE(""https://docs.google.com/spreadsheets/d/11923uPwbBZFjjGgGUA6NLw09EwE0CqkOc4q9oUmW1yo/edit?usp=sharing"",""พะเยา!L545"")"),0)</f>
        <v>0</v>
      </c>
      <c r="M650" s="520"/>
      <c r="N650" s="537">
        <f ca="1">IFERROR(__xludf.DUMMYFUNCTION("IMPORTRANGE(""https://docs.google.com/spreadsheets/d/11923uPwbBZFjjGgGUA6NLw09EwE0CqkOc4q9oUmW1yo/edit?usp=sharing"",""พะเยา!M545"")"),0)</f>
        <v>0</v>
      </c>
      <c r="O650" s="536">
        <f t="shared" ca="1" si="132"/>
        <v>0</v>
      </c>
      <c r="P650" s="536"/>
    </row>
    <row r="651" spans="1:16" ht="21.75" customHeight="1" x14ac:dyDescent="0.45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IFERROR(__xludf.DUMMYFUNCTION("IMPORTRANGE(""https://docs.google.com/spreadsheets/d/11923uPwbBZFjjGgGUA6NLw09EwE0CqkOc4q9oUmW1yo/edit?usp=sharing"",""พะเยา!I546"")"),0)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IFERROR(__xludf.DUMMYFUNCTION("IMPORTRANGE(""https://docs.google.com/spreadsheets/d/11923uPwbBZFjjGgGUA6NLw09EwE0CqkOc4q9oUmW1yo/edit?usp=sharing"",""พะเยา!L546"")"),0)</f>
        <v>0</v>
      </c>
      <c r="M651" s="520"/>
      <c r="N651" s="537">
        <f ca="1">IFERROR(__xludf.DUMMYFUNCTION("IMPORTRANGE(""https://docs.google.com/spreadsheets/d/11923uPwbBZFjjGgGUA6NLw09EwE0CqkOc4q9oUmW1yo/edit?usp=sharing"",""พะเยา!M546"")"),0)</f>
        <v>0</v>
      </c>
      <c r="O651" s="536">
        <f t="shared" ca="1" si="132"/>
        <v>0</v>
      </c>
      <c r="P651" s="536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IFERROR(__xludf.DUMMYFUNCTION("IMPORTRANGE(""https://docs.google.com/spreadsheets/d/11923uPwbBZFjjGgGUA6NLw09EwE0CqkOc4q9oUmW1yo/edit?usp=sharing"",""พะเยา!J547"")"),0)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IFERROR(__xludf.DUMMYFUNCTION("IMPORTRANGE(""https://docs.google.com/spreadsheets/d/11923uPwbBZFjjGgGUA6NLw09EwE0CqkOc4q9oUmW1yo/edit?usp=sharing"",""พะเยา!J548"")"),0)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IFERROR(__xludf.DUMMYFUNCTION("IMPORTRANGE(""https://docs.google.com/spreadsheets/d/11923uPwbBZFjjGgGUA6NLw09EwE0CqkOc4q9oUmW1yo/edit?usp=sharing"",""พะเยา!J550"")"),0)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IFERROR(__xludf.DUMMYFUNCTION("IMPORTRANGE(""https://docs.google.com/spreadsheets/d/11923uPwbBZFjjGgGUA6NLw09EwE0CqkOc4q9oUmW1yo/edit?usp=sharing"",""พะเยา!J551"")"),0)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IFERROR(__xludf.DUMMYFUNCTION("IMPORTRANGE(""https://docs.google.com/spreadsheets/d/11923uPwbBZFjjGgGUA6NLw09EwE0CqkOc4q9oUmW1yo/edit?usp=sharing"",""พะเยา!J552"")"),0)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IFERROR(__xludf.DUMMYFUNCTION("IMPORTRANGE(""https://docs.google.com/spreadsheets/d/11923uPwbBZFjjGgGUA6NLw09EwE0CqkOc4q9oUmW1yo/edit?usp=sharing"",""พะเยา!J553"")"),0)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IFERROR(__xludf.DUMMYFUNCTION("IMPORTRANGE(""https://docs.google.com/spreadsheets/d/11923uPwbBZFjjGgGUA6NLw09EwE0CqkOc4q9oUmW1yo/edit?usp=sharing"",""พะเยา!J554"")"),0)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IFERROR(__xludf.DUMMYFUNCTION("IMPORTRANGE(""https://docs.google.com/spreadsheets/d/11923uPwbBZFjjGgGUA6NLw09EwE0CqkOc4q9oUmW1yo/edit?usp=sharing"",""พะเยา!J555"")"),0)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5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IFERROR(__xludf.DUMMYFUNCTION("IMPORTRANGE(""https://docs.google.com/spreadsheets/d/11923uPwbBZFjjGgGUA6NLw09EwE0CqkOc4q9oUmW1yo/edit?usp=sharing"",""พะเยา!J556"")"),0)</f>
        <v>0</v>
      </c>
      <c r="K661" s="536"/>
      <c r="L661" s="521">
        <f ca="1">IFERROR(__xludf.DUMMYFUNCTION("IMPORTRANGE(""https://docs.google.com/spreadsheets/d/11923uPwbBZFjjGgGUA6NLw09EwE0CqkOc4q9oUmW1yo/edit?usp=sharing"",""พะเยา!L556"")"),0)</f>
        <v>0</v>
      </c>
      <c r="M661" s="520"/>
      <c r="N661" s="537">
        <f ca="1">IFERROR(__xludf.DUMMYFUNCTION("IMPORTRANGE(""https://docs.google.com/spreadsheets/d/11923uPwbBZFjjGgGUA6NLw09EwE0CqkOc4q9oUmW1yo/edit?usp=sharing"",""พะเยา!M556"")"),0)</f>
        <v>0</v>
      </c>
      <c r="O661" s="536">
        <f ca="1">IF(L661&gt;0,N661*100/L661,0)</f>
        <v>0</v>
      </c>
      <c r="P661" s="536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IFERROR(__xludf.DUMMYFUNCTION("IMPORTRANGE(""https://docs.google.com/spreadsheets/d/11923uPwbBZFjjGgGUA6NLw09EwE0CqkOc4q9oUmW1yo/edit?usp=sharing"",""พะเยา!J557"")"),0)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IFERROR(__xludf.DUMMYFUNCTION("IMPORTRANGE(""https://docs.google.com/spreadsheets/d/11923uPwbBZFjjGgGUA6NLw09EwE0CqkOc4q9oUmW1yo/edit?usp=sharing"",""พะเยา!I558"")"),0)</f>
        <v>0</v>
      </c>
      <c r="J663" s="535">
        <f ca="1">IFERROR(__xludf.DUMMYFUNCTION("IMPORTRANGE(""https://docs.google.com/spreadsheets/d/11923uPwbBZFjjGgGUA6NLw09EwE0CqkOc4q9oUmW1yo/edit?usp=sharing"",""พะเยา!J558"")"),0)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5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IFERROR(__xludf.DUMMYFUNCTION("IMPORTRANGE(""https://docs.google.com/spreadsheets/d/11923uPwbBZFjjGgGUA6NLw09EwE0CqkOc4q9oUmW1yo/edit?usp=sharing"",""พะเยา!I560"")"),0)</f>
        <v>0</v>
      </c>
      <c r="J665" s="535">
        <f ca="1">IFERROR(__xludf.DUMMYFUNCTION("IMPORTRANGE(""https://docs.google.com/spreadsheets/d/11923uPwbBZFjjGgGUA6NLw09EwE0CqkOc4q9oUmW1yo/edit?usp=sharing"",""พะเยา!J560"")"),0)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IFERROR(__xludf.DUMMYFUNCTION("IMPORTRANGE(""https://docs.google.com/spreadsheets/d/11923uPwbBZFjjGgGUA6NLw09EwE0CqkOc4q9oUmW1yo/edit?usp=sharing"",""พะเยา!L560"")"),0)</f>
        <v>0</v>
      </c>
      <c r="M665" s="520"/>
      <c r="N665" s="537">
        <f ca="1">IFERROR(__xludf.DUMMYFUNCTION("IMPORTRANGE(""https://docs.google.com/spreadsheets/d/11923uPwbBZFjjGgGUA6NLw09EwE0CqkOc4q9oUmW1yo/edit?usp=sharing"",""พะเยา!M560"")"),0)</f>
        <v>0</v>
      </c>
      <c r="O665" s="536">
        <f ca="1">IF(L665&gt;0,N665*100/L665,0)</f>
        <v>0</v>
      </c>
      <c r="P665" s="536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IFERROR(__xludf.DUMMYFUNCTION("IMPORTRANGE(""https://docs.google.com/spreadsheets/d/11923uPwbBZFjjGgGUA6NLw09EwE0CqkOc4q9oUmW1yo/edit?usp=sharing"",""พะเยา!J561"")"),0)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IFERROR(__xludf.DUMMYFUNCTION("IMPORTRANGE(""https://docs.google.com/spreadsheets/d/11923uPwbBZFjjGgGUA6NLw09EwE0CqkOc4q9oUmW1yo/edit?usp=sharing"",""พะเยา!J562"")"),0)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IFERROR(__xludf.DUMMYFUNCTION("IMPORTRANGE(""https://docs.google.com/spreadsheets/d/11923uPwbBZFjjGgGUA6NLw09EwE0CqkOc4q9oUmW1yo/edit?usp=sharing"",""พะเยา!I563"")"),0)</f>
        <v>0</v>
      </c>
      <c r="J668" s="535">
        <f ca="1">IFERROR(__xludf.DUMMYFUNCTION("IMPORTRANGE(""https://docs.google.com/spreadsheets/d/11923uPwbBZFjjGgGUA6NLw09EwE0CqkOc4q9oUmW1yo/edit?usp=sharing"",""พะเยา!J563"")"),0)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IFERROR(__xludf.DUMMYFUNCTION("IMPORTRANGE(""https://docs.google.com/spreadsheets/d/11923uPwbBZFjjGgGUA6NLw09EwE0CqkOc4q9oUmW1yo/edit?usp=sharing"",""พะเยา!L563"")"),0)</f>
        <v>0</v>
      </c>
      <c r="M668" s="520"/>
      <c r="N668" s="537">
        <f ca="1">IFERROR(__xludf.DUMMYFUNCTION("IMPORTRANGE(""https://docs.google.com/spreadsheets/d/11923uPwbBZFjjGgGUA6NLw09EwE0CqkOc4q9oUmW1yo/edit?usp=sharing"",""พะเยา!M563"")"),0)</f>
        <v>0</v>
      </c>
      <c r="O668" s="536">
        <f ca="1">IF(L668&gt;0,N668*100/L668,0)</f>
        <v>0</v>
      </c>
      <c r="P668" s="536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IFERROR(__xludf.DUMMYFUNCTION("IMPORTRANGE(""https://docs.google.com/spreadsheets/d/11923uPwbBZFjjGgGUA6NLw09EwE0CqkOc4q9oUmW1yo/edit?usp=sharing"",""พะเยา!J564"")"),0)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IFERROR(__xludf.DUMMYFUNCTION("IMPORTRANGE(""https://docs.google.com/spreadsheets/d/11923uPwbBZFjjGgGUA6NLw09EwE0CqkOc4q9oUmW1yo/edit?usp=sharing"",""พะเยา!J565"")"),0)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5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IFERROR(__xludf.DUMMYFUNCTION("IMPORTRANGE(""https://docs.google.com/spreadsheets/d/11923uPwbBZFjjGgGUA6NLw09EwE0CqkOc4q9oUmW1yo/edit?usp=sharing"",""พะเยา!I566"")"),0)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IFERROR(__xludf.DUMMYFUNCTION("IMPORTRANGE(""https://docs.google.com/spreadsheets/d/11923uPwbBZFjjGgGUA6NLw09EwE0CqkOc4q9oUmW1yo/edit?usp=sharing"",""พะเยา!L566"")"),0)</f>
        <v>0</v>
      </c>
      <c r="M671" s="520"/>
      <c r="N671" s="537">
        <f ca="1">IFERROR(__xludf.DUMMYFUNCTION("IMPORTRANGE(""https://docs.google.com/spreadsheets/d/11923uPwbBZFjjGgGUA6NLw09EwE0CqkOc4q9oUmW1yo/edit?usp=sharing"",""พะเยา!M566"")"),0)</f>
        <v>0</v>
      </c>
      <c r="O671" s="536">
        <f ca="1">IF(L671&gt;0,N671*100/L671,0)</f>
        <v>0</v>
      </c>
      <c r="P671" s="536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IFERROR(__xludf.DUMMYFUNCTION("IMPORTRANGE(""https://docs.google.com/spreadsheets/d/11923uPwbBZFjjGgGUA6NLw09EwE0CqkOc4q9oUmW1yo/edit?usp=sharing"",""พะเยา!J567"")"),0)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IFERROR(__xludf.DUMMYFUNCTION("IMPORTRANGE(""https://docs.google.com/spreadsheets/d/11923uPwbBZFjjGgGUA6NLw09EwE0CqkOc4q9oUmW1yo/edit?usp=sharing"",""พะเยา!J568"")"),0)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IFERROR(__xludf.DUMMYFUNCTION("IMPORTRANGE(""https://docs.google.com/spreadsheets/d/11923uPwbBZFjjGgGUA6NLw09EwE0CqkOc4q9oUmW1yo/edit?usp=sharing"",""พะเยา!J569"")"),0)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IFERROR(__xludf.DUMMYFUNCTION("IMPORTRANGE(""https://docs.google.com/spreadsheets/d/11923uPwbBZFjjGgGUA6NLw09EwE0CqkOc4q9oUmW1yo/edit?usp=sharing"",""พะเยา!J570"")"),0)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IFERROR(__xludf.DUMMYFUNCTION("IMPORTRANGE(""https://docs.google.com/spreadsheets/d/11923uPwbBZFjjGgGUA6NLw09EwE0CqkOc4q9oUmW1yo/edit?usp=sharing"",""พะเยา!J571"")"),0)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5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IFERROR(__xludf.DUMMYFUNCTION("IMPORTRANGE(""https://docs.google.com/spreadsheets/d/11923uPwbBZFjjGgGUA6NLw09EwE0CqkOc4q9oUmW1yo/edit?usp=sharing"",""พะเยา!J572"")"),0)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35">
      <c r="A2" s="577" t="s">
        <v>274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3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4710612</v>
      </c>
      <c r="M8" s="23">
        <f t="shared" ca="1" si="0"/>
        <v>2105350</v>
      </c>
      <c r="N8" s="23">
        <f t="shared" ca="1" si="0"/>
        <v>2447231.16</v>
      </c>
      <c r="O8" s="22">
        <f t="shared" ref="O8:O16" ca="1" si="1">IF(L8&gt;0,N8*100/L8,0)</f>
        <v>51.951448346839008</v>
      </c>
      <c r="P8" s="22">
        <f t="shared" ref="P8:P16" ca="1" si="2">IF(M8&gt;0,N8*100/M8,0)</f>
        <v>116.23868525423326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4710612</v>
      </c>
      <c r="M10" s="30">
        <f t="shared" ca="1" si="4"/>
        <v>2105350</v>
      </c>
      <c r="N10" s="30">
        <f t="shared" ca="1" si="4"/>
        <v>2447231.16</v>
      </c>
      <c r="O10" s="29">
        <f t="shared" ca="1" si="1"/>
        <v>51.951448346839008</v>
      </c>
      <c r="P10" s="29">
        <f t="shared" ca="1" si="2"/>
        <v>116.23868525423326</v>
      </c>
    </row>
    <row r="11" spans="1:16" ht="21.75" customHeight="1" x14ac:dyDescent="0.45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4635012</v>
      </c>
      <c r="M12" s="39">
        <f t="shared" ca="1" si="6"/>
        <v>2029750</v>
      </c>
      <c r="N12" s="39">
        <f t="shared" ca="1" si="6"/>
        <v>2371631.16</v>
      </c>
      <c r="O12" s="39">
        <f t="shared" ca="1" si="1"/>
        <v>51.167745844023706</v>
      </c>
      <c r="P12" s="39">
        <f t="shared" ca="1" si="2"/>
        <v>116.84351077718931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2124700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2510312</v>
      </c>
      <c r="M14" s="39">
        <f t="shared" si="8"/>
        <v>0</v>
      </c>
      <c r="N14" s="39">
        <f t="shared" ca="1" si="8"/>
        <v>791511.30999999994</v>
      </c>
      <c r="O14" s="39">
        <f t="shared" ca="1" si="1"/>
        <v>31.530395823308019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75600</v>
      </c>
      <c r="M16" s="39">
        <f t="shared" ca="1" si="10"/>
        <v>75600</v>
      </c>
      <c r="N16" s="39">
        <f t="shared" ca="1" si="10"/>
        <v>75600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2692065</v>
      </c>
      <c r="M18" s="23">
        <f t="shared" ca="1" si="11"/>
        <v>2105350</v>
      </c>
      <c r="N18" s="23">
        <f t="shared" ca="1" si="11"/>
        <v>1655719.85</v>
      </c>
      <c r="O18" s="22">
        <f t="shared" ref="O18:O20" ca="1" si="12">IF(L18&gt;0,N18*100/L18,0)</f>
        <v>61.503709977285098</v>
      </c>
      <c r="P18" s="22">
        <f t="shared" ref="P18:P26" ca="1" si="13">IF(M18&gt;0,N18*100/M18,0)</f>
        <v>78.643448832735643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2692065</v>
      </c>
      <c r="M20" s="30">
        <f t="shared" ca="1" si="15"/>
        <v>2105350</v>
      </c>
      <c r="N20" s="30">
        <f t="shared" ca="1" si="15"/>
        <v>1655719.85</v>
      </c>
      <c r="O20" s="29">
        <f t="shared" ca="1" si="12"/>
        <v>61.503709977285098</v>
      </c>
      <c r="P20" s="29">
        <f t="shared" ca="1" si="13"/>
        <v>78.643448832735643</v>
      </c>
    </row>
    <row r="21" spans="1:16" ht="21.75" customHeight="1" x14ac:dyDescent="0.45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2616465</v>
      </c>
      <c r="M22" s="42">
        <f t="shared" ca="1" si="18"/>
        <v>2029750</v>
      </c>
      <c r="N22" s="39">
        <f t="shared" ca="1" si="18"/>
        <v>1580119.85</v>
      </c>
      <c r="O22" s="39">
        <f t="shared" ca="1" si="17"/>
        <v>60.391400228934842</v>
      </c>
      <c r="P22" s="39">
        <f t="shared" ca="1" si="13"/>
        <v>77.848003448700581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2124700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491765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75600</v>
      </c>
      <c r="M26" s="50">
        <f t="shared" ca="1" si="22"/>
        <v>75600</v>
      </c>
      <c r="N26" s="50">
        <f t="shared" ca="1" si="22"/>
        <v>75600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2018547</v>
      </c>
      <c r="M28" s="23">
        <f t="shared" si="23"/>
        <v>0</v>
      </c>
      <c r="N28" s="23">
        <f t="shared" ca="1" si="23"/>
        <v>791511.30999999994</v>
      </c>
      <c r="O28" s="22">
        <f t="shared" ref="O28:O30" ca="1" si="24">IF(L28&gt;0,N28*100/L28,0)</f>
        <v>39.211933633450201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2018547</v>
      </c>
      <c r="M30" s="30">
        <f t="shared" si="27"/>
        <v>0</v>
      </c>
      <c r="N30" s="30">
        <f t="shared" ca="1" si="27"/>
        <v>791511.30999999994</v>
      </c>
      <c r="O30" s="29">
        <f t="shared" ca="1" si="24"/>
        <v>39.211933633450201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2018547</v>
      </c>
      <c r="M32" s="39">
        <f t="shared" si="30"/>
        <v>0</v>
      </c>
      <c r="N32" s="39">
        <f t="shared" ca="1" si="30"/>
        <v>791511.30999999994</v>
      </c>
      <c r="O32" s="39">
        <f t="shared" ca="1" si="29"/>
        <v>39.211933633450201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2018547</v>
      </c>
      <c r="M34" s="39">
        <f t="shared" si="32"/>
        <v>0</v>
      </c>
      <c r="N34" s="39">
        <f t="shared" ca="1" si="32"/>
        <v>791511.30999999994</v>
      </c>
      <c r="O34" s="39">
        <f t="shared" ca="1" si="29"/>
        <v>39.211933633450201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2692065</v>
      </c>
      <c r="M37" s="55">
        <f t="shared" ca="1" si="33"/>
        <v>2105350</v>
      </c>
      <c r="N37" s="55">
        <f t="shared" ca="1" si="33"/>
        <v>1655719.85</v>
      </c>
      <c r="O37" s="56">
        <f t="shared" ca="1" si="29"/>
        <v>61.503709977285098</v>
      </c>
      <c r="P37" s="56">
        <f t="shared" ca="1" si="25"/>
        <v>78.643448832735643</v>
      </c>
    </row>
    <row r="38" spans="1:16" ht="21.75" customHeight="1" x14ac:dyDescent="0.45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658100</v>
      </c>
      <c r="M41" s="79">
        <f t="shared" ca="1" si="34"/>
        <v>493600</v>
      </c>
      <c r="N41" s="79">
        <f t="shared" ca="1" si="34"/>
        <v>439592.37</v>
      </c>
      <c r="O41" s="78">
        <f t="shared" ref="O41:O43" ca="1" si="35">IF(L41&gt;0,N41*100/L41,0)</f>
        <v>66.797199513751707</v>
      </c>
      <c r="P41" s="78">
        <f t="shared" ref="P41:P43" ca="1" si="36">IF(M41&gt;0,N41*100/M41,0)</f>
        <v>89.058421799027556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658100</v>
      </c>
      <c r="M43" s="79">
        <f t="shared" ca="1" si="38"/>
        <v>493600</v>
      </c>
      <c r="N43" s="79">
        <f t="shared" ca="1" si="38"/>
        <v>439592.37</v>
      </c>
      <c r="O43" s="78">
        <f t="shared" ca="1" si="35"/>
        <v>66.797199513751707</v>
      </c>
      <c r="P43" s="78">
        <f t="shared" ca="1" si="36"/>
        <v>89.058421799027556</v>
      </c>
    </row>
    <row r="44" spans="1:16" ht="21.75" customHeight="1" x14ac:dyDescent="0.45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658100</v>
      </c>
      <c r="M45" s="50">
        <f ca="1">IFERROR(__xludf.DUMMYFUNCTION("IMPORTRANGE(""https://docs.google.com/spreadsheets/d/1Yj_ptqi66GCucihVvJfMjLAmec39IyEx_6qawtMGysU/edit?usp=sharing"",""สบก!Q27"")"),493600)</f>
        <v>493600</v>
      </c>
      <c r="N45" s="50">
        <f ca="1">IFERROR(__xludf.DUMMYFUNCTION("IMPORTRANGE(""https://docs.google.com/spreadsheets/d/1Yj_ptqi66GCucihVvJfMjLAmec39IyEx_6qawtMGysU/edit?usp=sharing"",""สบก!R27"")"),439592.37)</f>
        <v>439592.37</v>
      </c>
      <c r="O45" s="39">
        <f ca="1">IF(L45&gt;0,N45*100/L45,0)</f>
        <v>66.797199513751707</v>
      </c>
      <c r="P45" s="39">
        <f ca="1">IF(M45&gt;0,N45*100/M45,0)</f>
        <v>89.058421799027556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IFERROR(__xludf.DUMMYFUNCTION("IMPORTRANGE(""https://docs.google.com/spreadsheets/d/1Yj_ptqi66GCucihVvJfMjLAmec39IyEx_6qawtMGysU/edit?usp=sharing"",""สบก!M27"")"),658100)</f>
        <v>658100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IFERROR(__xludf.DUMMYFUNCTION("IMPORTRANGE(""https://docs.google.com/spreadsheets/d/1Yj_ptqi66GCucihVvJfMjLAmec39IyEx_6qawtMGysU/edit?usp=sharing"",""สบก!N27"")"),0)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IFERROR(__xludf.DUMMYFUNCTION("IMPORTRANGE(""https://docs.google.com/spreadsheets/d/1Yj_ptqi66GCucihVvJfMjLAmec39IyEx_6qawtMGysU/edit?usp=sharing"",""สบก!O27"")"),0)</f>
        <v>0</v>
      </c>
      <c r="M49" s="50"/>
      <c r="N49" s="50">
        <f ca="1">IFERROR(__xludf.DUMMYFUNCTION("IMPORTRANGE(""https://docs.google.com/spreadsheets/d/1Yj_ptqi66GCucihVvJfMjLAmec39IyEx_6qawtMGysU/edit?usp=sharing"",""สบก!S27"")"),0)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612000</v>
      </c>
      <c r="M53" s="121">
        <f t="shared" ca="1" si="39"/>
        <v>476250</v>
      </c>
      <c r="N53" s="121">
        <f t="shared" ca="1" si="39"/>
        <v>380288.39</v>
      </c>
      <c r="O53" s="120">
        <f t="shared" ref="O53:O55" ca="1" si="40">IF(L53&gt;0,N53*100/L53,0)</f>
        <v>62.138625816993461</v>
      </c>
      <c r="P53" s="120">
        <f t="shared" ref="P53:P55" ca="1" si="41">IF(M53&gt;0,N53*100/M53,0)</f>
        <v>79.85058057742782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612000</v>
      </c>
      <c r="M55" s="121">
        <f t="shared" ca="1" si="43"/>
        <v>476250</v>
      </c>
      <c r="N55" s="121">
        <f t="shared" ca="1" si="43"/>
        <v>380288.39</v>
      </c>
      <c r="O55" s="120">
        <f t="shared" ca="1" si="40"/>
        <v>62.138625816993461</v>
      </c>
      <c r="P55" s="120">
        <f t="shared" ca="1" si="41"/>
        <v>79.85058057742782</v>
      </c>
    </row>
    <row r="56" spans="1:16" ht="21.75" customHeight="1" x14ac:dyDescent="0.45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612000</v>
      </c>
      <c r="M57" s="50">
        <f ca="1">IFERROR(__xludf.DUMMYFUNCTION("IMPORTRANGE(""https://docs.google.com/spreadsheets/d/1Yj_ptqi66GCucihVvJfMjLAmec39IyEx_6qawtMGysU/edit?usp=sharing"",""สบก!Z27"")"),476250)</f>
        <v>476250</v>
      </c>
      <c r="N57" s="50">
        <f ca="1">IFERROR(__xludf.DUMMYFUNCTION("IMPORTRANGE(""https://docs.google.com/spreadsheets/d/1Yj_ptqi66GCucihVvJfMjLAmec39IyEx_6qawtMGysU/edit?usp=sharing"",""สบก!AA27"")"),380288.39)</f>
        <v>380288.39</v>
      </c>
      <c r="O57" s="39">
        <f ca="1">IF(L57&gt;0,N57*100/L57,0)</f>
        <v>62.138625816993461</v>
      </c>
      <c r="P57" s="39">
        <f ca="1">IF(M57&gt;0,N57*100/M57,0)</f>
        <v>79.85058057742782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IFERROR(__xludf.DUMMYFUNCTION("IMPORTRANGE(""https://docs.google.com/spreadsheets/d/1Yj_ptqi66GCucihVvJfMjLAmec39IyEx_6qawtMGysU/edit?usp=sharing"",""สบก!V27"")"),612000)</f>
        <v>612000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IFERROR(__xludf.DUMMYFUNCTION("IMPORTRANGE(""https://docs.google.com/spreadsheets/d/1Yj_ptqi66GCucihVvJfMjLAmec39IyEx_6qawtMGysU/edit?usp=sharing"",""สบก!W27"")"),0)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IFERROR(__xludf.DUMMYFUNCTION("IMPORTRANGE(""https://docs.google.com/spreadsheets/d/1Yj_ptqi66GCucihVvJfMjLAmec39IyEx_6qawtMGysU/edit?usp=sharing"",""สบก!X27"")"),0)</f>
        <v>0</v>
      </c>
      <c r="M61" s="50"/>
      <c r="N61" s="50">
        <f ca="1">IFERROR(__xludf.DUMMYFUNCTION("IMPORTRANGE(""https://docs.google.com/spreadsheets/d/1Yj_ptqi66GCucihVvJfMjLAmec39IyEx_6qawtMGysU/edit?usp=sharing"",""สบก!AB27"")"),0)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IFERROR(__xludf.DUMMYFUNCTION("IMPORTRANGE(""https://docs.google.com/spreadsheets/d/11923uPwbBZFjjGgGUA6NLw09EwE0CqkOc4q9oUmW1yo/edit?usp=sharing"",""พิจิตร!I9"")"),0)</f>
        <v>0</v>
      </c>
      <c r="J64" s="142">
        <f ca="1">IFERROR(__xludf.DUMMYFUNCTION("IMPORTRANGE(""https://docs.google.com/spreadsheets/d/11923uPwbBZFjjGgGUA6NLw09EwE0CqkOc4q9oUmW1yo/edit?usp=sharing"",""พิจิตร!J9"")"),0)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IFERROR(__xludf.DUMMYFUNCTION("IMPORTRANGE(""https://docs.google.com/spreadsheets/d/11923uPwbBZFjjGgGUA6NLw09EwE0CqkOc4q9oUmW1yo/edit?usp=sharing"",""พิจิตร!I10"")"),0)</f>
        <v>0</v>
      </c>
      <c r="J65" s="142">
        <f ca="1">IFERROR(__xludf.DUMMYFUNCTION("IMPORTRANGE(""https://docs.google.com/spreadsheets/d/11923uPwbBZFjjGgGUA6NLw09EwE0CqkOc4q9oUmW1yo/edit?usp=sharing"",""พิจิตร!J10"")"),0)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IFERROR(__xludf.DUMMYFUNCTION("IMPORTRANGE(""https://docs.google.com/spreadsheets/d/1Yj_ptqi66GCucihVvJfMjLAmec39IyEx_6qawtMGysU/edit?usp=sharing"",""สบก!AI27"")"),0)</f>
        <v>0</v>
      </c>
      <c r="N70" s="168">
        <f ca="1">IFERROR(__xludf.DUMMYFUNCTION("IMPORTRANGE(""https://docs.google.com/spreadsheets/d/1Yj_ptqi66GCucihVvJfMjLAmec39IyEx_6qawtMGysU/edit?usp=sharing"",""สบก!AJ27"")"),0)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IFERROR(__xludf.DUMMYFUNCTION("IMPORTRANGE(""https://docs.google.com/spreadsheets/d/1Yj_ptqi66GCucihVvJfMjLAmec39IyEx_6qawtMGysU/edit?usp=sharing"",""สบก!AE27"")"),0)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IFERROR(__xludf.DUMMYFUNCTION("IMPORTRANGE(""https://docs.google.com/spreadsheets/d/1Yj_ptqi66GCucihVvJfMjLAmec39IyEx_6qawtMGysU/edit?usp=sharing"",""สบก!AF27"")"),0)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IFERROR(__xludf.DUMMYFUNCTION("IMPORTRANGE(""https://docs.google.com/spreadsheets/d/1Yj_ptqi66GCucihVvJfMjLAmec39IyEx_6qawtMGysU/edit?usp=sharing"",""สบก!AG27"")"),0)</f>
        <v>0</v>
      </c>
      <c r="M74" s="50"/>
      <c r="N74" s="50">
        <f ca="1">IFERROR(__xludf.DUMMYFUNCTION("IMPORTRANGE(""https://docs.google.com/spreadsheets/d/1Yj_ptqi66GCucihVvJfMjLAmec39IyEx_6qawtMGysU/edit?usp=sharing"",""สบก!AK27"")"),0)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IFERROR(__xludf.DUMMYFUNCTION("IMPORTRANGE(""https://docs.google.com/spreadsheets/d/11923uPwbBZFjjGgGUA6NLw09EwE0CqkOc4q9oUmW1yo/edit?usp=sharing"",""พิจิตร!J16"")"),0)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IFERROR(__xludf.DUMMYFUNCTION("IMPORTRANGE(""https://docs.google.com/spreadsheets/d/11923uPwbBZFjjGgGUA6NLw09EwE0CqkOc4q9oUmW1yo/edit?usp=sharing"",""พิจิตร!J17"")"),0)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IFERROR(__xludf.DUMMYFUNCTION("IMPORTRANGE(""https://docs.google.com/spreadsheets/d/11923uPwbBZFjjGgGUA6NLw09EwE0CqkOc4q9oUmW1yo/edit?usp=sharing"",""พิจิตร!J18"")"),0)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IFERROR(__xludf.DUMMYFUNCTION("IMPORTRANGE(""https://docs.google.com/spreadsheets/d/11923uPwbBZFjjGgGUA6NLw09EwE0CqkOc4q9oUmW1yo/edit?usp=sharing"",""พิจิตร!J19"")"),0)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IFERROR(__xludf.DUMMYFUNCTION("IMPORTRANGE(""https://docs.google.com/spreadsheets/d/11923uPwbBZFjjGgGUA6NLw09EwE0CqkOc4q9oUmW1yo/edit?usp=sharing"",""พิจิตร!I20"")"),0)</f>
        <v>0</v>
      </c>
      <c r="J80" s="200">
        <f ca="1">IFERROR(__xludf.DUMMYFUNCTION("IMPORTRANGE(""https://docs.google.com/spreadsheets/d/11923uPwbBZFjjGgGUA6NLw09EwE0CqkOc4q9oUmW1yo/edit?usp=sharing"",""พิจิตร!J20"")"),0)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IFERROR(__xludf.DUMMYFUNCTION("IMPORTRANGE(""https://docs.google.com/spreadsheets/d/11923uPwbBZFjjGgGUA6NLw09EwE0CqkOc4q9oUmW1yo/edit?usp=sharing"",""พิจิตร!I21"")"),0)</f>
        <v>0</v>
      </c>
      <c r="J81" s="200">
        <f ca="1">IFERROR(__xludf.DUMMYFUNCTION("IMPORTRANGE(""https://docs.google.com/spreadsheets/d/11923uPwbBZFjjGgGUA6NLw09EwE0CqkOc4q9oUmW1yo/edit?usp=sharing"",""พิจิตร!J21"")"),0)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IFERROR(__xludf.DUMMYFUNCTION("IMPORTRANGE(""https://docs.google.com/spreadsheets/d/11923uPwbBZFjjGgGUA6NLw09EwE0CqkOc4q9oUmW1yo/edit?usp=sharing"",""พิจิตร!I22"")"),0)</f>
        <v>0</v>
      </c>
      <c r="J82" s="203">
        <f ca="1">IFERROR(__xludf.DUMMYFUNCTION("IMPORTRANGE(""https://docs.google.com/spreadsheets/d/11923uPwbBZFjjGgGUA6NLw09EwE0CqkOc4q9oUmW1yo/edit?usp=sharing"",""พิจิตร!J22"")"),0)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IFERROR(__xludf.DUMMYFUNCTION("IMPORTRANGE(""https://docs.google.com/spreadsheets/d/11923uPwbBZFjjGgGUA6NLw09EwE0CqkOc4q9oUmW1yo/edit?usp=sharing"",""พิจิตร!I23"")"),0)</f>
        <v>0</v>
      </c>
      <c r="J83" s="203">
        <f ca="1">IFERROR(__xludf.DUMMYFUNCTION("IMPORTRANGE(""https://docs.google.com/spreadsheets/d/11923uPwbBZFjjGgGUA6NLw09EwE0CqkOc4q9oUmW1yo/edit?usp=sharing"",""พิจิตร!J23"")"),0)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IFERROR(__xludf.DUMMYFUNCTION("IMPORTRANGE(""https://docs.google.com/spreadsheets/d/11923uPwbBZFjjGgGUA6NLw09EwE0CqkOc4q9oUmW1yo/edit?usp=sharing"",""พิจิตร!I24"")"),0)</f>
        <v>0</v>
      </c>
      <c r="J84" s="188">
        <f ca="1">IFERROR(__xludf.DUMMYFUNCTION("IMPORTRANGE(""https://docs.google.com/spreadsheets/d/11923uPwbBZFjjGgGUA6NLw09EwE0CqkOc4q9oUmW1yo/edit?usp=sharing"",""พิจิตร!J24"")"),0)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IFERROR(__xludf.DUMMYFUNCTION("IMPORTRANGE(""https://docs.google.com/spreadsheets/d/11923uPwbBZFjjGgGUA6NLw09EwE0CqkOc4q9oUmW1yo/edit?usp=sharing"",""พิจิตร!I25"")"),0)</f>
        <v>0</v>
      </c>
      <c r="J85" s="188">
        <f ca="1">IFERROR(__xludf.DUMMYFUNCTION("IMPORTRANGE(""https://docs.google.com/spreadsheets/d/11923uPwbBZFjjGgGUA6NLw09EwE0CqkOc4q9oUmW1yo/edit?usp=sharing"",""พิจิตร!J25"")"),0)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IFERROR(__xludf.DUMMYFUNCTION("IMPORTRANGE(""https://docs.google.com/spreadsheets/d/11923uPwbBZFjjGgGUA6NLw09EwE0CqkOc4q9oUmW1yo/edit?usp=sharing"",""พิจิตร!I26"")"),0)</f>
        <v>0</v>
      </c>
      <c r="J86" s="203">
        <f ca="1">IFERROR(__xludf.DUMMYFUNCTION("IMPORTRANGE(""https://docs.google.com/spreadsheets/d/11923uPwbBZFjjGgGUA6NLw09EwE0CqkOc4q9oUmW1yo/edit?usp=sharing"",""พิจิตร!J26"")"),0)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IFERROR(__xludf.DUMMYFUNCTION("IMPORTRANGE(""https://docs.google.com/spreadsheets/d/11923uPwbBZFjjGgGUA6NLw09EwE0CqkOc4q9oUmW1yo/edit?usp=sharing"",""พิจิตร!I27"")"),0)</f>
        <v>0</v>
      </c>
      <c r="J87" s="203">
        <f ca="1">IFERROR(__xludf.DUMMYFUNCTION("IMPORTRANGE(""https://docs.google.com/spreadsheets/d/11923uPwbBZFjjGgGUA6NLw09EwE0CqkOc4q9oUmW1yo/edit?usp=sharing"",""พิจิตร!J27"")"),0)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IFERROR(__xludf.DUMMYFUNCTION("IMPORTRANGE(""https://docs.google.com/spreadsheets/d/11923uPwbBZFjjGgGUA6NLw09EwE0CqkOc4q9oUmW1yo/edit?usp=sharing"",""พิจิตร!I28"")"),0)</f>
        <v>0</v>
      </c>
      <c r="J88" s="203">
        <f ca="1">IFERROR(__xludf.DUMMYFUNCTION("IMPORTRANGE(""https://docs.google.com/spreadsheets/d/11923uPwbBZFjjGgGUA6NLw09EwE0CqkOc4q9oUmW1yo/edit?usp=sharing"",""พิจิตร!J28"")"),0)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IFERROR(__xludf.DUMMYFUNCTION("IMPORTRANGE(""https://docs.google.com/spreadsheets/d/11923uPwbBZFjjGgGUA6NLw09EwE0CqkOc4q9oUmW1yo/edit?usp=sharing"",""พิจิตร!J29"")"),0)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IFERROR(__xludf.DUMMYFUNCTION("IMPORTRANGE(""https://docs.google.com/spreadsheets/d/11923uPwbBZFjjGgGUA6NLw09EwE0CqkOc4q9oUmW1yo/edit?usp=sharing"",""พิจิตร!J30"")"),0)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IFERROR(__xludf.DUMMYFUNCTION("IMPORTRANGE(""https://docs.google.com/spreadsheets/d/11923uPwbBZFjjGgGUA6NLw09EwE0CqkOc4q9oUmW1yo/edit?usp=sharing"",""พิจิตร!I32"")"),0)</f>
        <v>0</v>
      </c>
      <c r="J92" s="142">
        <f ca="1">IFERROR(__xludf.DUMMYFUNCTION("IMPORTRANGE(""https://docs.google.com/spreadsheets/d/11923uPwbBZFjjGgGUA6NLw09EwE0CqkOc4q9oUmW1yo/edit?usp=sharing"",""พิจิตร!J32"")"),0)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IFERROR(__xludf.DUMMYFUNCTION("IMPORTRANGE(""https://docs.google.com/spreadsheets/d/11923uPwbBZFjjGgGUA6NLw09EwE0CqkOc4q9oUmW1yo/edit?usp=sharing"",""พิจิตร!I33"")"),0)</f>
        <v>0</v>
      </c>
      <c r="J93" s="142">
        <f ca="1">IFERROR(__xludf.DUMMYFUNCTION("IMPORTRANGE(""https://docs.google.com/spreadsheets/d/11923uPwbBZFjjGgGUA6NLw09EwE0CqkOc4q9oUmW1yo/edit?usp=sharing"",""พิจิตร!J33"")"),0)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IFERROR(__xludf.DUMMYFUNCTION("IMPORTRANGE(""https://docs.google.com/spreadsheets/d/1Yj_ptqi66GCucihVvJfMjLAmec39IyEx_6qawtMGysU/edit?usp=sharing"",""สบก!AR27"")"),0)</f>
        <v>0</v>
      </c>
      <c r="N98" s="168">
        <f ca="1">IFERROR(__xludf.DUMMYFUNCTION("IMPORTRANGE(""https://docs.google.com/spreadsheets/d/1Yj_ptqi66GCucihVvJfMjLAmec39IyEx_6qawtMGysU/edit?usp=sharing"",""สบก!AS27"")"),0)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IFERROR(__xludf.DUMMYFUNCTION("IMPORTRANGE(""https://docs.google.com/spreadsheets/d/1Yj_ptqi66GCucihVvJfMjLAmec39IyEx_6qawtMGysU/edit?usp=sharing"",""สบก!AN27"")"),0)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IFERROR(__xludf.DUMMYFUNCTION("IMPORTRANGE(""https://docs.google.com/spreadsheets/d/1Yj_ptqi66GCucihVvJfMjLAmec39IyEx_6qawtMGysU/edit?usp=sharing"",""สบก!AO27"")"),0)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IFERROR(__xludf.DUMMYFUNCTION("IMPORTRANGE(""https://docs.google.com/spreadsheets/d/1Yj_ptqi66GCucihVvJfMjLAmec39IyEx_6qawtMGysU/edit?usp=sharing"",""สบก!AP27"")"),0)</f>
        <v>0</v>
      </c>
      <c r="M102" s="50"/>
      <c r="N102" s="50">
        <f ca="1">IFERROR(__xludf.DUMMYFUNCTION("IMPORTRANGE(""https://docs.google.com/spreadsheets/d/1Yj_ptqi66GCucihVvJfMjLAmec39IyEx_6qawtMGysU/edit?usp=sharing"",""สบก!AT27"")"),0)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IFERROR(__xludf.DUMMYFUNCTION("IMPORTRANGE(""https://docs.google.com/spreadsheets/d/11923uPwbBZFjjGgGUA6NLw09EwE0CqkOc4q9oUmW1yo/edit?usp=sharing"",""พิจิตร!J39"")"),0)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IFERROR(__xludf.DUMMYFUNCTION("IMPORTRANGE(""https://docs.google.com/spreadsheets/d/11923uPwbBZFjjGgGUA6NLw09EwE0CqkOc4q9oUmW1yo/edit?usp=sharing"",""พิจิตร!J40"")"),0)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IFERROR(__xludf.DUMMYFUNCTION("IMPORTRANGE(""https://docs.google.com/spreadsheets/d/11923uPwbBZFjjGgGUA6NLw09EwE0CqkOc4q9oUmW1yo/edit?usp=sharing"",""พิจิตร!J41"")"),0)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IFERROR(__xludf.DUMMYFUNCTION("IMPORTRANGE(""https://docs.google.com/spreadsheets/d/11923uPwbBZFjjGgGUA6NLw09EwE0CqkOc4q9oUmW1yo/edit?usp=sharing"",""พิจิตร!J42"")"),0)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IFERROR(__xludf.DUMMYFUNCTION("IMPORTRANGE(""https://docs.google.com/spreadsheets/d/11923uPwbBZFjjGgGUA6NLw09EwE0CqkOc4q9oUmW1yo/edit?usp=sharing"",""พิจิตร!I43"")"),0)</f>
        <v>0</v>
      </c>
      <c r="J108" s="203">
        <f ca="1">IFERROR(__xludf.DUMMYFUNCTION("IMPORTRANGE(""https://docs.google.com/spreadsheets/d/11923uPwbBZFjjGgGUA6NLw09EwE0CqkOc4q9oUmW1yo/edit?usp=sharing"",""พิจิตร!J43"")"),0)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IFERROR(__xludf.DUMMYFUNCTION("IMPORTRANGE(""https://docs.google.com/spreadsheets/d/11923uPwbBZFjjGgGUA6NLw09EwE0CqkOc4q9oUmW1yo/edit?usp=sharing"",""พิจิตร!I44"")"),0)</f>
        <v>0</v>
      </c>
      <c r="J109" s="203">
        <f ca="1">IFERROR(__xludf.DUMMYFUNCTION("IMPORTRANGE(""https://docs.google.com/spreadsheets/d/11923uPwbBZFjjGgGUA6NLw09EwE0CqkOc4q9oUmW1yo/edit?usp=sharing"",""พิจิตร!J44"")"),0)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IFERROR(__xludf.DUMMYFUNCTION("IMPORTRANGE(""https://docs.google.com/spreadsheets/d/11923uPwbBZFjjGgGUA6NLw09EwE0CqkOc4q9oUmW1yo/edit?usp=sharing"",""พิจิตร!I45"")"),0)</f>
        <v>0</v>
      </c>
      <c r="J110" s="203">
        <f ca="1">IFERROR(__xludf.DUMMYFUNCTION("IMPORTRANGE(""https://docs.google.com/spreadsheets/d/11923uPwbBZFjjGgGUA6NLw09EwE0CqkOc4q9oUmW1yo/edit?usp=sharing"",""พิจิตร!J45"")"),0)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IFERROR(__xludf.DUMMYFUNCTION("IMPORTRANGE(""https://docs.google.com/spreadsheets/d/11923uPwbBZFjjGgGUA6NLw09EwE0CqkOc4q9oUmW1yo/edit?usp=sharing"",""พิจิตร!I46"")"),0)</f>
        <v>0</v>
      </c>
      <c r="J111" s="203">
        <f ca="1">IFERROR(__xludf.DUMMYFUNCTION("IMPORTRANGE(""https://docs.google.com/spreadsheets/d/11923uPwbBZFjjGgGUA6NLw09EwE0CqkOc4q9oUmW1yo/edit?usp=sharing"",""พิจิตร!J46"")"),0)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IFERROR(__xludf.DUMMYFUNCTION("IMPORTRANGE(""https://docs.google.com/spreadsheets/d/11923uPwbBZFjjGgGUA6NLw09EwE0CqkOc4q9oUmW1yo/edit?usp=sharing"",""พิจิตร!I47"")"),0)</f>
        <v>0</v>
      </c>
      <c r="J112" s="203">
        <f ca="1">IFERROR(__xludf.DUMMYFUNCTION("IMPORTRANGE(""https://docs.google.com/spreadsheets/d/11923uPwbBZFjjGgGUA6NLw09EwE0CqkOc4q9oUmW1yo/edit?usp=sharing"",""พิจิตร!J47"")"),0)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IFERROR(__xludf.DUMMYFUNCTION("IMPORTRANGE(""https://docs.google.com/spreadsheets/d/11923uPwbBZFjjGgGUA6NLw09EwE0CqkOc4q9oUmW1yo/edit?usp=sharing"",""พิจิตร!I48"")"),0)</f>
        <v>0</v>
      </c>
      <c r="J113" s="203">
        <f ca="1">IFERROR(__xludf.DUMMYFUNCTION("IMPORTRANGE(""https://docs.google.com/spreadsheets/d/11923uPwbBZFjjGgGUA6NLw09EwE0CqkOc4q9oUmW1yo/edit?usp=sharing"",""พิจิตร!J48"")"),0)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IFERROR(__xludf.DUMMYFUNCTION("IMPORTRANGE(""https://docs.google.com/spreadsheets/d/11923uPwbBZFjjGgGUA6NLw09EwE0CqkOc4q9oUmW1yo/edit?usp=sharing"",""พิจิตร!J49"")"),0)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IFERROR(__xludf.DUMMYFUNCTION("IMPORTRANGE(""https://docs.google.com/spreadsheets/d/11923uPwbBZFjjGgGUA6NLw09EwE0CqkOc4q9oUmW1yo/edit?usp=sharing"",""พิจิตร!J50"")"),0)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IFERROR(__xludf.DUMMYFUNCTION("IMPORTRANGE(""https://docs.google.com/spreadsheets/d/11923uPwbBZFjjGgGUA6NLw09EwE0CqkOc4q9oUmW1yo/edit?usp=sharing"",""พิจิตร!I52"")"),0)</f>
        <v>0</v>
      </c>
      <c r="J117" s="142">
        <f ca="1">IFERROR(__xludf.DUMMYFUNCTION("IMPORTRANGE(""https://docs.google.com/spreadsheets/d/11923uPwbBZFjjGgGUA6NLw09EwE0CqkOc4q9oUmW1yo/edit?usp=sharing"",""พิจิตร!J52"")"),0)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IFERROR(__xludf.DUMMYFUNCTION("IMPORTRANGE(""https://docs.google.com/spreadsheets/d/1Yj_ptqi66GCucihVvJfMjLAmec39IyEx_6qawtMGysU/edit?usp=sharing"",""สบก!BA27"")"),0)</f>
        <v>0</v>
      </c>
      <c r="N122" s="168">
        <f ca="1">IFERROR(__xludf.DUMMYFUNCTION("IMPORTRANGE(""https://docs.google.com/spreadsheets/d/1Yj_ptqi66GCucihVvJfMjLAmec39IyEx_6qawtMGysU/edit?usp=sharing"",""สบก!BB27"")"),0)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IFERROR(__xludf.DUMMYFUNCTION("IMPORTRANGE(""https://docs.google.com/spreadsheets/d/1Yj_ptqi66GCucihVvJfMjLAmec39IyEx_6qawtMGysU/edit?usp=sharing"",""สบก!AW27"")"),0)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IFERROR(__xludf.DUMMYFUNCTION("IMPORTRANGE(""https://docs.google.com/spreadsheets/d/1Yj_ptqi66GCucihVvJfMjLAmec39IyEx_6qawtMGysU/edit?usp=sharing"",""สบก!AX27"")"),0)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IFERROR(__xludf.DUMMYFUNCTION("IMPORTRANGE(""https://docs.google.com/spreadsheets/d/1Yj_ptqi66GCucihVvJfMjLAmec39IyEx_6qawtMGysU/edit?usp=sharing"",""สบก!AY27"")"),0)</f>
        <v>0</v>
      </c>
      <c r="M126" s="50"/>
      <c r="N126" s="50">
        <f ca="1">IFERROR(__xludf.DUMMYFUNCTION("IMPORTRANGE(""https://docs.google.com/spreadsheets/d/1Yj_ptqi66GCucihVvJfMjLAmec39IyEx_6qawtMGysU/edit?usp=sharing"",""สบก!BC27"")"),0)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3" t="s">
        <v>275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IFERROR(__xludf.DUMMYFUNCTION("IMPORTRANGE(""https://docs.google.com/spreadsheets/d/11923uPwbBZFjjGgGUA6NLw09EwE0CqkOc4q9oUmW1yo/edit?usp=sharing"",""พิจิตร!J58"")"),0)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IFERROR(__xludf.DUMMYFUNCTION("IMPORTRANGE(""https://docs.google.com/spreadsheets/d/11923uPwbBZFjjGgGUA6NLw09EwE0CqkOc4q9oUmW1yo/edit?usp=sharing"",""พิจิตร!J59"")"),0)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IFERROR(__xludf.DUMMYFUNCTION("IMPORTRANGE(""https://docs.google.com/spreadsheets/d/11923uPwbBZFjjGgGUA6NLw09EwE0CqkOc4q9oUmW1yo/edit?usp=sharing"",""พิจิตร!J60"")"),0)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IFERROR(__xludf.DUMMYFUNCTION("IMPORTRANGE(""https://docs.google.com/spreadsheets/d/11923uPwbBZFjjGgGUA6NLw09EwE0CqkOc4q9oUmW1yo/edit?usp=sharing"",""พิจิตร!J61"")"),0)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IFERROR(__xludf.DUMMYFUNCTION("IMPORTRANGE(""https://docs.google.com/spreadsheets/d/11923uPwbBZFjjGgGUA6NLw09EwE0CqkOc4q9oUmW1yo/edit?usp=sharing"",""พิจิตร!I62"")"),0)</f>
        <v>0</v>
      </c>
      <c r="J132" s="203">
        <f ca="1">IFERROR(__xludf.DUMMYFUNCTION("IMPORTRANGE(""https://docs.google.com/spreadsheets/d/11923uPwbBZFjjGgGUA6NLw09EwE0CqkOc4q9oUmW1yo/edit?usp=sharing"",""พิจิตร!J62"")"),0)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IFERROR(__xludf.DUMMYFUNCTION("IMPORTRANGE(""https://docs.google.com/spreadsheets/d/11923uPwbBZFjjGgGUA6NLw09EwE0CqkOc4q9oUmW1yo/edit?usp=sharing"",""พิจิตร!I63"")"),0)</f>
        <v>0</v>
      </c>
      <c r="J133" s="203">
        <f ca="1">IFERROR(__xludf.DUMMYFUNCTION("IMPORTRANGE(""https://docs.google.com/spreadsheets/d/11923uPwbBZFjjGgGUA6NLw09EwE0CqkOc4q9oUmW1yo/edit?usp=sharing"",""พิจิตร!J63"")"),0)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IFERROR(__xludf.DUMMYFUNCTION("IMPORTRANGE(""https://docs.google.com/spreadsheets/d/11923uPwbBZFjjGgGUA6NLw09EwE0CqkOc4q9oUmW1yo/edit?usp=sharing"",""พิจิตร!J64"")"),0)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IFERROR(__xludf.DUMMYFUNCTION("IMPORTRANGE(""https://docs.google.com/spreadsheets/d/11923uPwbBZFjjGgGUA6NLw09EwE0CqkOc4q9oUmW1yo/edit?usp=sharing"",""พิจิตร!J65"")"),0)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IFERROR(__xludf.DUMMYFUNCTION("IMPORTRANGE(""https://docs.google.com/spreadsheets/d/11923uPwbBZFjjGgGUA6NLw09EwE0CqkOc4q9oUmW1yo/edit?usp=sharing"",""พิจิตร!I68"")"),0)</f>
        <v>0</v>
      </c>
      <c r="J138" s="267">
        <f ca="1">IFERROR(__xludf.DUMMYFUNCTION("IMPORTRANGE(""https://docs.google.com/spreadsheets/d/11923uPwbBZFjjGgGUA6NLw09EwE0CqkOc4q9oUmW1yo/edit?usp=sharing"",""พิจิตร!J68"")"),0)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58500</v>
      </c>
      <c r="M140" s="152">
        <f t="shared" ca="1" si="64"/>
        <v>93725</v>
      </c>
      <c r="N140" s="152">
        <f t="shared" ca="1" si="64"/>
        <v>44108</v>
      </c>
      <c r="O140" s="151">
        <f t="shared" ref="O140:O142" ca="1" si="65">IF(L140&gt;0,N140*100/L140,0)</f>
        <v>75.3982905982906</v>
      </c>
      <c r="P140" s="151">
        <f t="shared" ref="P140:P142" ca="1" si="66">IF(M140&gt;0,N140*100/M140,0)</f>
        <v>47.061082955454786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58500</v>
      </c>
      <c r="M142" s="88">
        <f t="shared" ca="1" si="68"/>
        <v>93725</v>
      </c>
      <c r="N142" s="88">
        <f t="shared" ca="1" si="68"/>
        <v>44108</v>
      </c>
      <c r="O142" s="156">
        <f t="shared" ca="1" si="65"/>
        <v>75.3982905982906</v>
      </c>
      <c r="P142" s="156">
        <f t="shared" ca="1" si="66"/>
        <v>47.061082955454786</v>
      </c>
    </row>
    <row r="143" spans="1:16" ht="21.75" customHeight="1" x14ac:dyDescent="0.45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58500</v>
      </c>
      <c r="M144" s="167">
        <f ca="1">IFERROR(__xludf.DUMMYFUNCTION("IMPORTRANGE(""https://docs.google.com/spreadsheets/d/1Yj_ptqi66GCucihVvJfMjLAmec39IyEx_6qawtMGysU/edit?usp=sharing"",""สบก!BJ27"")"),93725)</f>
        <v>93725</v>
      </c>
      <c r="N144" s="168">
        <f ca="1">IFERROR(__xludf.DUMMYFUNCTION("IMPORTRANGE(""https://docs.google.com/spreadsheets/d/1Yj_ptqi66GCucihVvJfMjLAmec39IyEx_6qawtMGysU/edit?usp=sharing"",""สบก!BK27"")"),44108)</f>
        <v>44108</v>
      </c>
      <c r="O144" s="168">
        <f ca="1">IF(L144&gt;0,N144*100/L144,0)</f>
        <v>75.3982905982906</v>
      </c>
      <c r="P144" s="168">
        <f ca="1">IF(M144&gt;0,N144*100/M144,0)</f>
        <v>47.061082955454786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IFERROR(__xludf.DUMMYFUNCTION("IMPORTRANGE(""https://docs.google.com/spreadsheets/d/1Yj_ptqi66GCucihVvJfMjLAmec39IyEx_6qawtMGysU/edit?usp=sharing"",""สบก!BF27"")"),0)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IFERROR(__xludf.DUMMYFUNCTION("IMPORTRANGE(""https://docs.google.com/spreadsheets/d/1Yj_ptqi66GCucihVvJfMjLAmec39IyEx_6qawtMGysU/edit?usp=sharing"",""สบก!BG27"")"),58500)</f>
        <v>58500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IFERROR(__xludf.DUMMYFUNCTION("IMPORTRANGE(""https://docs.google.com/spreadsheets/d/1Yj_ptqi66GCucihVvJfMjLAmec39IyEx_6qawtMGysU/edit?usp=sharing"",""สบก!BH27"")"),0)</f>
        <v>0</v>
      </c>
      <c r="M148" s="50"/>
      <c r="N148" s="50">
        <f ca="1">IFERROR(__xludf.DUMMYFUNCTION("IMPORTRANGE(""https://docs.google.com/spreadsheets/d/1Yj_ptqi66GCucihVvJfMjLAmec39IyEx_6qawtMGysU/edit?usp=sharing"",""สบก!BL27"")"),0)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IFERROR(__xludf.DUMMYFUNCTION("IMPORTRANGE(""https://docs.google.com/spreadsheets/d/11923uPwbBZFjjGgGUA6NLw09EwE0CqkOc4q9oUmW1yo/edit?usp=sharing"",""พิจิตร!I74"")"),4)</f>
        <v>4</v>
      </c>
      <c r="J149" s="275">
        <f ca="1">IFERROR(__xludf.DUMMYFUNCTION("IMPORTRANGE(""https://docs.google.com/spreadsheets/d/11923uPwbBZFjjGgGUA6NLw09EwE0CqkOc4q9oUmW1yo/edit?usp=sharing"",""พิจิตร!J74"")"),2)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IFERROR(__xludf.DUMMYFUNCTION("IMPORTRANGE(""https://docs.google.com/spreadsheets/d/11923uPwbBZFjjGgGUA6NLw09EwE0CqkOc4q9oUmW1yo/edit?usp=sharing"",""พิจิตร!J79"")"),0)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IFERROR(__xludf.DUMMYFUNCTION("IMPORTRANGE(""https://docs.google.com/spreadsheets/d/11923uPwbBZFjjGgGUA6NLw09EwE0CqkOc4q9oUmW1yo/edit?usp=sharing"",""พิจิตร!J80"")"),1)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IFERROR(__xludf.DUMMYFUNCTION("IMPORTRANGE(""https://docs.google.com/spreadsheets/d/11923uPwbBZFjjGgGUA6NLw09EwE0CqkOc4q9oUmW1yo/edit?usp=sharing"",""พิจิตร!J81"")"),0)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IFERROR(__xludf.DUMMYFUNCTION("IMPORTRANGE(""https://docs.google.com/spreadsheets/d/11923uPwbBZFjjGgGUA6NLw09EwE0CqkOc4q9oUmW1yo/edit?usp=sharing"",""พิจิตร!J82"")"),1)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IFERROR(__xludf.DUMMYFUNCTION("IMPORTRANGE(""https://docs.google.com/spreadsheets/d/11923uPwbBZFjjGgGUA6NLw09EwE0CqkOc4q9oUmW1yo/edit?usp=sharing"",""พิจิตร!I83"")"),4)</f>
        <v>4</v>
      </c>
      <c r="J158" s="188">
        <f ca="1">IFERROR(__xludf.DUMMYFUNCTION("IMPORTRANGE(""https://docs.google.com/spreadsheets/d/11923uPwbBZFjjGgGUA6NLw09EwE0CqkOc4q9oUmW1yo/edit?usp=sharing"",""พิจิตร!J83"")"),2)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IFERROR(__xludf.DUMMYFUNCTION("IMPORTRANGE(""https://docs.google.com/spreadsheets/d/11923uPwbBZFjjGgGUA6NLw09EwE0CqkOc4q9oUmW1yo/edit?usp=sharing"",""พิจิตร!J84"")"),56)</f>
        <v>56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IFERROR(__xludf.DUMMYFUNCTION("IMPORTRANGE(""https://docs.google.com/spreadsheets/d/11923uPwbBZFjjGgGUA6NLw09EwE0CqkOc4q9oUmW1yo/edit?usp=sharing"",""พิจิตร!J85"")"),56)</f>
        <v>56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IFERROR(__xludf.DUMMYFUNCTION("IMPORTRANGE(""https://docs.google.com/spreadsheets/d/11923uPwbBZFjjGgGUA6NLw09EwE0CqkOc4q9oUmW1yo/edit?usp=sharing"",""พิจิตร!J86"")"),0)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IFERROR(__xludf.DUMMYFUNCTION("IMPORTRANGE(""https://docs.google.com/spreadsheets/d/11923uPwbBZFjjGgGUA6NLw09EwE0CqkOc4q9oUmW1yo/edit?usp=sharing"",""พิจิตร!J87"")"),0)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IFERROR(__xludf.DUMMYFUNCTION("IMPORTRANGE(""https://docs.google.com/spreadsheets/d/11923uPwbBZFjjGgGUA6NLw09EwE0CqkOc4q9oUmW1yo/edit?usp=sharing"",""พิจิตร!J88"")"),0)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IFERROR(__xludf.DUMMYFUNCTION("IMPORTRANGE(""https://docs.google.com/spreadsheets/d/11923uPwbBZFjjGgGUA6NLw09EwE0CqkOc4q9oUmW1yo/edit?usp=sharing"",""พิจิตร!I89"")"),3)</f>
        <v>3</v>
      </c>
      <c r="J164" s="284">
        <f ca="1">IFERROR(__xludf.DUMMYFUNCTION("IMPORTRANGE(""https://docs.google.com/spreadsheets/d/11923uPwbBZFjjGgGUA6NLw09EwE0CqkOc4q9oUmW1yo/edit?usp=sharing"",""พิจิตร!J89"")"),2)</f>
        <v>2</v>
      </c>
      <c r="K164" s="285">
        <f ca="1">IF(I164&gt;0,J164*100/I164,0)</f>
        <v>66.666666666666671</v>
      </c>
      <c r="L164" s="277"/>
      <c r="M164" s="277"/>
      <c r="N164" s="277"/>
      <c r="O164" s="277"/>
      <c r="P164" s="277"/>
    </row>
    <row r="165" spans="1:16" ht="21.75" customHeight="1" x14ac:dyDescent="0.3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IFERROR(__xludf.DUMMYFUNCTION("IMPORTRANGE(""https://docs.google.com/spreadsheets/d/11923uPwbBZFjjGgGUA6NLw09EwE0CqkOc4q9oUmW1yo/edit?usp=sharing"",""พิจิตร!J94"")"),0)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IFERROR(__xludf.DUMMYFUNCTION("IMPORTRANGE(""https://docs.google.com/spreadsheets/d/11923uPwbBZFjjGgGUA6NLw09EwE0CqkOc4q9oUmW1yo/edit?usp=sharing"",""พิจิตร!J95"")"),1)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IFERROR(__xludf.DUMMYFUNCTION("IMPORTRANGE(""https://docs.google.com/spreadsheets/d/11923uPwbBZFjjGgGUA6NLw09EwE0CqkOc4q9oUmW1yo/edit?usp=sharing"",""พิจิตร!J96"")"),0)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IFERROR(__xludf.DUMMYFUNCTION("IMPORTRANGE(""https://docs.google.com/spreadsheets/d/11923uPwbBZFjjGgGUA6NLw09EwE0CqkOc4q9oUmW1yo/edit?usp=sharing"",""พิจิตร!J97"")"),1)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IFERROR(__xludf.DUMMYFUNCTION("IMPORTRANGE(""https://docs.google.com/spreadsheets/d/11923uPwbBZFjjGgGUA6NLw09EwE0CqkOc4q9oUmW1yo/edit?usp=sharing"",""พิจิตร!I98"")"),3)</f>
        <v>3</v>
      </c>
      <c r="J173" s="188">
        <f ca="1">IFERROR(__xludf.DUMMYFUNCTION("IMPORTRANGE(""https://docs.google.com/spreadsheets/d/11923uPwbBZFjjGgGUA6NLw09EwE0CqkOc4q9oUmW1yo/edit?usp=sharing"",""พิจิตร!J98"")"),2)</f>
        <v>2</v>
      </c>
      <c r="K173" s="163">
        <f ca="1">IF(I173&gt;0,J173*100/I173,0)</f>
        <v>66.666666666666671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IFERROR(__xludf.DUMMYFUNCTION("IMPORTRANGE(""https://docs.google.com/spreadsheets/d/11923uPwbBZFjjGgGUA6NLw09EwE0CqkOc4q9oUmW1yo/edit?usp=sharing"",""พิจิตร!J99"")"),0)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IFERROR(__xludf.DUMMYFUNCTION("IMPORTRANGE(""https://docs.google.com/spreadsheets/d/11923uPwbBZFjjGgGUA6NLw09EwE0CqkOc4q9oUmW1yo/edit?usp=sharing"",""พิจิตร!J100"")"),0)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IFERROR(__xludf.DUMMYFUNCTION("IMPORTRANGE(""https://docs.google.com/spreadsheets/d/11923uPwbBZFjjGgGUA6NLw09EwE0CqkOc4q9oUmW1yo/edit?usp=sharing"",""พิจิตร!I101"")"),0)</f>
        <v>0</v>
      </c>
      <c r="J176" s="284">
        <f ca="1">IFERROR(__xludf.DUMMYFUNCTION("IMPORTRANGE(""https://docs.google.com/spreadsheets/d/11923uPwbBZFjjGgGUA6NLw09EwE0CqkOc4q9oUmW1yo/edit?usp=sharing"",""พิจิตร!J101"")"),0)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IFERROR(__xludf.DUMMYFUNCTION("IMPORTRANGE(""https://docs.google.com/spreadsheets/d/11923uPwbBZFjjGgGUA6NLw09EwE0CqkOc4q9oUmW1yo/edit?usp=sharing"",""พิจิตร!J106"")"),0)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IFERROR(__xludf.DUMMYFUNCTION("IMPORTRANGE(""https://docs.google.com/spreadsheets/d/11923uPwbBZFjjGgGUA6NLw09EwE0CqkOc4q9oUmW1yo/edit?usp=sharing"",""พิจิตร!J107"")"),0)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IFERROR(__xludf.DUMMYFUNCTION("IMPORTRANGE(""https://docs.google.com/spreadsheets/d/11923uPwbBZFjjGgGUA6NLw09EwE0CqkOc4q9oUmW1yo/edit?usp=sharing"",""พิจิตร!J108"")"),0)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IFERROR(__xludf.DUMMYFUNCTION("IMPORTRANGE(""https://docs.google.com/spreadsheets/d/11923uPwbBZFjjGgGUA6NLw09EwE0CqkOc4q9oUmW1yo/edit?usp=sharing"",""พิจิตร!J109"")"),0)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IFERROR(__xludf.DUMMYFUNCTION("IMPORTRANGE(""https://docs.google.com/spreadsheets/d/11923uPwbBZFjjGgGUA6NLw09EwE0CqkOc4q9oUmW1yo/edit?usp=sharing"",""พิจิตร!I110"")"),0)</f>
        <v>0</v>
      </c>
      <c r="J185" s="203">
        <f ca="1">IFERROR(__xludf.DUMMYFUNCTION("IMPORTRANGE(""https://docs.google.com/spreadsheets/d/11923uPwbBZFjjGgGUA6NLw09EwE0CqkOc4q9oUmW1yo/edit?usp=sharing"",""พิจิตร!J110"")"),0)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IFERROR(__xludf.DUMMYFUNCTION("IMPORTRANGE(""https://docs.google.com/spreadsheets/d/11923uPwbBZFjjGgGUA6NLw09EwE0CqkOc4q9oUmW1yo/edit?usp=sharing"",""พิจิตร!I111"")"),0)</f>
        <v>0</v>
      </c>
      <c r="J186" s="203">
        <f ca="1">IFERROR(__xludf.DUMMYFUNCTION("IMPORTRANGE(""https://docs.google.com/spreadsheets/d/11923uPwbBZFjjGgGUA6NLw09EwE0CqkOc4q9oUmW1yo/edit?usp=sharing"",""พิจิตร!J111"")"),0)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IFERROR(__xludf.DUMMYFUNCTION("IMPORTRANGE(""https://docs.google.com/spreadsheets/d/11923uPwbBZFjjGgGUA6NLw09EwE0CqkOc4q9oUmW1yo/edit?usp=sharing"",""พิจิตร!J112"")"),0)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IFERROR(__xludf.DUMMYFUNCTION("IMPORTRANGE(""https://docs.google.com/spreadsheets/d/11923uPwbBZFjjGgGUA6NLw09EwE0CqkOc4q9oUmW1yo/edit?usp=sharing"",""พิจิตร!J113"")"),0)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IFERROR(__xludf.DUMMYFUNCTION("IMPORTRANGE(""https://docs.google.com/spreadsheets/d/11923uPwbBZFjjGgGUA6NLw09EwE0CqkOc4q9oUmW1yo/edit?usp=sharing"",""พิจิตร!I114"")"),20000)</f>
        <v>20000</v>
      </c>
      <c r="J189" s="284">
        <f ca="1">IFERROR(__xludf.DUMMYFUNCTION("IMPORTRANGE(""https://docs.google.com/spreadsheets/d/11923uPwbBZFjjGgGUA6NLw09EwE0CqkOc4q9oUmW1yo/edit?usp=sharing"",""พิจิตร!J114"")"),0)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IFERROR(__xludf.DUMMYFUNCTION("IMPORTRANGE(""https://docs.google.com/spreadsheets/d/11923uPwbBZFjjGgGUA6NLw09EwE0CqkOc4q9oUmW1yo/edit?usp=sharing"",""พิจิตร!J119"")"),0)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IFERROR(__xludf.DUMMYFUNCTION("IMPORTRANGE(""https://docs.google.com/spreadsheets/d/11923uPwbBZFjjGgGUA6NLw09EwE0CqkOc4q9oUmW1yo/edit?usp=sharing"",""พิจิตร!J120"")"),1)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IFERROR(__xludf.DUMMYFUNCTION("IMPORTRANGE(""https://docs.google.com/spreadsheets/d/11923uPwbBZFjjGgGUA6NLw09EwE0CqkOc4q9oUmW1yo/edit?usp=sharing"",""พิจิตร!J121"")"),0)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IFERROR(__xludf.DUMMYFUNCTION("IMPORTRANGE(""https://docs.google.com/spreadsheets/d/11923uPwbBZFjjGgGUA6NLw09EwE0CqkOc4q9oUmW1yo/edit?usp=sharing"",""พิจิตร!J122"")"),1)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IFERROR(__xludf.DUMMYFUNCTION("IMPORTRANGE(""https://docs.google.com/spreadsheets/d/11923uPwbBZFjjGgGUA6NLw09EwE0CqkOc4q9oUmW1yo/edit?usp=sharing"",""พิจิตร!I124"")"),20000)</f>
        <v>20000</v>
      </c>
      <c r="J199" s="188">
        <f ca="1">IFERROR(__xludf.DUMMYFUNCTION("IMPORTRANGE(""https://docs.google.com/spreadsheets/d/11923uPwbBZFjjGgGUA6NLw09EwE0CqkOc4q9oUmW1yo/edit?usp=sharing"",""พิจิตร!J124"")"),0)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IFERROR(__xludf.DUMMYFUNCTION("IMPORTRANGE(""https://docs.google.com/spreadsheets/d/11923uPwbBZFjjGgGUA6NLw09EwE0CqkOc4q9oUmW1yo/edit?usp=sharing"",""พิจิตร!I125"")"),20000)</f>
        <v>20000</v>
      </c>
      <c r="J200" s="188">
        <f ca="1">IFERROR(__xludf.DUMMYFUNCTION("IMPORTRANGE(""https://docs.google.com/spreadsheets/d/11923uPwbBZFjjGgGUA6NLw09EwE0CqkOc4q9oUmW1yo/edit?usp=sharing"",""พิจิตร!J125"")"),0)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IFERROR(__xludf.DUMMYFUNCTION("IMPORTRANGE(""https://docs.google.com/spreadsheets/d/11923uPwbBZFjjGgGUA6NLw09EwE0CqkOc4q9oUmW1yo/edit?usp=sharing"",""พิจิตร!I126"")"),0)</f>
        <v>0</v>
      </c>
      <c r="J201" s="188">
        <f ca="1">IFERROR(__xludf.DUMMYFUNCTION("IMPORTRANGE(""https://docs.google.com/spreadsheets/d/11923uPwbBZFjjGgGUA6NLw09EwE0CqkOc4q9oUmW1yo/edit?usp=sharing"",""พิจิตร!J126"")"),0)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IFERROR(__xludf.DUMMYFUNCTION("IMPORTRANGE(""https://docs.google.com/spreadsheets/d/11923uPwbBZFjjGgGUA6NLw09EwE0CqkOc4q9oUmW1yo/edit?usp=sharing"",""พิจิตร!J127"")"),0)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IFERROR(__xludf.DUMMYFUNCTION("IMPORTRANGE(""https://docs.google.com/spreadsheets/d/11923uPwbBZFjjGgGUA6NLw09EwE0CqkOc4q9oUmW1yo/edit?usp=sharing"",""พิจิตร!J128"")"),0)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IFERROR(__xludf.DUMMYFUNCTION("IMPORTRANGE(""https://docs.google.com/spreadsheets/d/11923uPwbBZFjjGgGUA6NLw09EwE0CqkOc4q9oUmW1yo/edit?usp=sharing"",""พิจิตร!I129"")"),0)</f>
        <v>0</v>
      </c>
      <c r="J204" s="284">
        <f ca="1">IFERROR(__xludf.DUMMYFUNCTION("IMPORTRANGE(""https://docs.google.com/spreadsheets/d/11923uPwbBZFjjGgGUA6NLw09EwE0CqkOc4q9oUmW1yo/edit?usp=sharing"",""พิจิตร!J129"")"),0)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IFERROR(__xludf.DUMMYFUNCTION("IMPORTRANGE(""https://docs.google.com/spreadsheets/d/11923uPwbBZFjjGgGUA6NLw09EwE0CqkOc4q9oUmW1yo/edit?usp=sharing"",""พิจิตร!J134"")"),0)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IFERROR(__xludf.DUMMYFUNCTION("IMPORTRANGE(""https://docs.google.com/spreadsheets/d/11923uPwbBZFjjGgGUA6NLw09EwE0CqkOc4q9oUmW1yo/edit?usp=sharing"",""พิจิตร!J135"")"),0)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IFERROR(__xludf.DUMMYFUNCTION("IMPORTRANGE(""https://docs.google.com/spreadsheets/d/11923uPwbBZFjjGgGUA6NLw09EwE0CqkOc4q9oUmW1yo/edit?usp=sharing"",""พิจิตร!J136"")"),0)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IFERROR(__xludf.DUMMYFUNCTION("IMPORTRANGE(""https://docs.google.com/spreadsheets/d/11923uPwbBZFjjGgGUA6NLw09EwE0CqkOc4q9oUmW1yo/edit?usp=sharing"",""พิจิตร!J137"")"),0)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IFERROR(__xludf.DUMMYFUNCTION("IMPORTRANGE(""https://docs.google.com/spreadsheets/d/11923uPwbBZFjjGgGUA6NLw09EwE0CqkOc4q9oUmW1yo/edit?usp=sharing"",""พิจิตร!I138"")"),0)</f>
        <v>0</v>
      </c>
      <c r="J213" s="203">
        <f ca="1">IFERROR(__xludf.DUMMYFUNCTION("IMPORTRANGE(""https://docs.google.com/spreadsheets/d/11923uPwbBZFjjGgGUA6NLw09EwE0CqkOc4q9oUmW1yo/edit?usp=sharing"",""พิจิตร!J138"")"),0)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IFERROR(__xludf.DUMMYFUNCTION("IMPORTRANGE(""https://docs.google.com/spreadsheets/d/11923uPwbBZFjjGgGUA6NLw09EwE0CqkOc4q9oUmW1yo/edit?usp=sharing"",""พิจิตร!I140"")"),0)</f>
        <v>0</v>
      </c>
      <c r="J215" s="203">
        <f ca="1">IFERROR(__xludf.DUMMYFUNCTION("IMPORTRANGE(""https://docs.google.com/spreadsheets/d/11923uPwbBZFjjGgGUA6NLw09EwE0CqkOc4q9oUmW1yo/edit?usp=sharing"",""พิจิตร!J140"")"),0)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IFERROR(__xludf.DUMMYFUNCTION("IMPORTRANGE(""https://docs.google.com/spreadsheets/d/11923uPwbBZFjjGgGUA6NLw09EwE0CqkOc4q9oUmW1yo/edit?usp=sharing"",""พิจิตร!I141"")"),0)</f>
        <v>0</v>
      </c>
      <c r="J216" s="203">
        <f ca="1">IFERROR(__xludf.DUMMYFUNCTION("IMPORTRANGE(""https://docs.google.com/spreadsheets/d/11923uPwbBZFjjGgGUA6NLw09EwE0CqkOc4q9oUmW1yo/edit?usp=sharing"",""พิจิตร!J141"")"),0)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IFERROR(__xludf.DUMMYFUNCTION("IMPORTRANGE(""https://docs.google.com/spreadsheets/d/11923uPwbBZFjjGgGUA6NLw09EwE0CqkOc4q9oUmW1yo/edit?usp=sharing"",""พิจิตร!J142"")"),0)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IFERROR(__xludf.DUMMYFUNCTION("IMPORTRANGE(""https://docs.google.com/spreadsheets/d/11923uPwbBZFjjGgGUA6NLw09EwE0CqkOc4q9oUmW1yo/edit?usp=sharing"",""พิจิตร!J143"")"),0)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IFERROR(__xludf.DUMMYFUNCTION("IMPORTRANGE(""https://docs.google.com/spreadsheets/d/11923uPwbBZFjjGgGUA6NLw09EwE0CqkOc4q9oUmW1yo/edit?usp=sharing"",""พิจิตร!I144"")"),15)</f>
        <v>15</v>
      </c>
      <c r="J219" s="267">
        <f ca="1">IFERROR(__xludf.DUMMYFUNCTION("IMPORTRANGE(""https://docs.google.com/spreadsheets/d/11923uPwbBZFjjGgGUA6NLw09EwE0CqkOc4q9oUmW1yo/edit?usp=sharing"",""พิจิตร!J144"")"),15)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IFERROR(__xludf.DUMMYFUNCTION("IMPORTRANGE(""https://docs.google.com/spreadsheets/d/1Yj_ptqi66GCucihVvJfMjLAmec39IyEx_6qawtMGysU/edit?usp=sharing"",""สบก!BS27"")"),21125)</f>
        <v>21125</v>
      </c>
      <c r="N224" s="168">
        <f ca="1">IFERROR(__xludf.DUMMYFUNCTION("IMPORTRANGE(""https://docs.google.com/spreadsheets/d/1Yj_ptqi66GCucihVvJfMjLAmec39IyEx_6qawtMGysU/edit?usp=sharing"",""สบก!BT27"")"),21125)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IFERROR(__xludf.DUMMYFUNCTION("IMPORTRANGE(""https://docs.google.com/spreadsheets/d/1Yj_ptqi66GCucihVvJfMjLAmec39IyEx_6qawtMGysU/edit?usp=sharing"",""สบก!BO27"")"),0)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IFERROR(__xludf.DUMMYFUNCTION("IMPORTRANGE(""https://docs.google.com/spreadsheets/d/1Yj_ptqi66GCucihVvJfMjLAmec39IyEx_6qawtMGysU/edit?usp=sharing"",""สบก!BP27"")"),21125)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IFERROR(__xludf.DUMMYFUNCTION("IMPORTRANGE(""https://docs.google.com/spreadsheets/d/1Yj_ptqi66GCucihVvJfMjLAmec39IyEx_6qawtMGysU/edit?usp=sharing"",""สบก!BQ27"")"),0)</f>
        <v>0</v>
      </c>
      <c r="M228" s="50"/>
      <c r="N228" s="50">
        <f ca="1">IFERROR(__xludf.DUMMYFUNCTION("IMPORTRANGE(""https://docs.google.com/spreadsheets/d/1Yj_ptqi66GCucihVvJfMjLAmec39IyEx_6qawtMGysU/edit?usp=sharing"",""สบก!BU27"")"),0)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IFERROR(__xludf.DUMMYFUNCTION("IMPORTRANGE(""https://docs.google.com/spreadsheets/d/11923uPwbBZFjjGgGUA6NLw09EwE0CqkOc4q9oUmW1yo/edit?usp=sharing"",""พิจิตร!I149"")"),15)</f>
        <v>15</v>
      </c>
      <c r="J229" s="267">
        <f ca="1">IFERROR(__xludf.DUMMYFUNCTION("IMPORTRANGE(""https://docs.google.com/spreadsheets/d/11923uPwbBZFjjGgGUA6NLw09EwE0CqkOc4q9oUmW1yo/edit?usp=sharing"",""พิจิตร!J149"")"),15)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IFERROR(__xludf.DUMMYFUNCTION("IMPORTRANGE(""https://docs.google.com/spreadsheets/d/11923uPwbBZFjjGgGUA6NLw09EwE0CqkOc4q9oUmW1yo/edit?usp=sharing"",""พิจิตร!J151"")"),0)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IFERROR(__xludf.DUMMYFUNCTION("IMPORTRANGE(""https://docs.google.com/spreadsheets/d/11923uPwbBZFjjGgGUA6NLw09EwE0CqkOc4q9oUmW1yo/edit?usp=sharing"",""พิจิตร!J152"")"),0)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IFERROR(__xludf.DUMMYFUNCTION("IMPORTRANGE(""https://docs.google.com/spreadsheets/d/11923uPwbBZFjjGgGUA6NLw09EwE0CqkOc4q9oUmW1yo/edit?usp=sharing"",""พิจิตร!J153"")"),0)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IFERROR(__xludf.DUMMYFUNCTION("IMPORTRANGE(""https://docs.google.com/spreadsheets/d/11923uPwbBZFjjGgGUA6NLw09EwE0CqkOc4q9oUmW1yo/edit?usp=sharing"",""พิจิตร!J154"")"),0)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IFERROR(__xludf.DUMMYFUNCTION("IMPORTRANGE(""https://docs.google.com/spreadsheets/d/11923uPwbBZFjjGgGUA6NLw09EwE0CqkOc4q9oUmW1yo/edit?usp=sharing"",""พิจิตร!I155"")"),15)</f>
        <v>15</v>
      </c>
      <c r="J235" s="188">
        <f ca="1">IFERROR(__xludf.DUMMYFUNCTION("IMPORTRANGE(""https://docs.google.com/spreadsheets/d/11923uPwbBZFjjGgGUA6NLw09EwE0CqkOc4q9oUmW1yo/edit?usp=sharing"",""พิจิตร!J155"")"),15)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IFERROR(__xludf.DUMMYFUNCTION("IMPORTRANGE(""https://docs.google.com/spreadsheets/d/11923uPwbBZFjjGgGUA6NLw09EwE0CqkOc4q9oUmW1yo/edit?usp=sharing"",""พิจิตร!J156"")"),1)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IFERROR(__xludf.DUMMYFUNCTION("IMPORTRANGE(""https://docs.google.com/spreadsheets/d/11923uPwbBZFjjGgGUA6NLw09EwE0CqkOc4q9oUmW1yo/edit?usp=sharing"",""พิจิตร!J157"")"),1)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IFERROR(__xludf.DUMMYFUNCTION("IMPORTRANGE(""https://docs.google.com/spreadsheets/d/11923uPwbBZFjjGgGUA6NLw09EwE0CqkOc4q9oUmW1yo/edit?usp=sharing"",""พิจิตร!I158"")"),0)</f>
        <v>0</v>
      </c>
      <c r="J238" s="267">
        <f ca="1">IFERROR(__xludf.DUMMYFUNCTION("IMPORTRANGE(""https://docs.google.com/spreadsheets/d/11923uPwbBZFjjGgGUA6NLw09EwE0CqkOc4q9oUmW1yo/edit?usp=sharing"",""พิจิตร!J158"")"),0)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IFERROR(__xludf.DUMMYFUNCTION("IMPORTRANGE(""https://docs.google.com/spreadsheets/d/11923uPwbBZFjjGgGUA6NLw09EwE0CqkOc4q9oUmW1yo/edit?usp=sharing"",""พิจิตร!J159"")"),"")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IFERROR(__xludf.DUMMYFUNCTION("IMPORTRANGE(""https://docs.google.com/spreadsheets/d/11923uPwbBZFjjGgGUA6NLw09EwE0CqkOc4q9oUmW1yo/edit?usp=sharing"",""พิจิตร!J161"")"),0)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IFERROR(__xludf.DUMMYFUNCTION("IMPORTRANGE(""https://docs.google.com/spreadsheets/d/11923uPwbBZFjjGgGUA6NLw09EwE0CqkOc4q9oUmW1yo/edit?usp=sharing"",""พิจิตร!J162"")"),0)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IFERROR(__xludf.DUMMYFUNCTION("IMPORTRANGE(""https://docs.google.com/spreadsheets/d/11923uPwbBZFjjGgGUA6NLw09EwE0CqkOc4q9oUmW1yo/edit?usp=sharing"",""พิจิตร!J163"")"),0)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IFERROR(__xludf.DUMMYFUNCTION("IMPORTRANGE(""https://docs.google.com/spreadsheets/d/11923uPwbBZFjjGgGUA6NLw09EwE0CqkOc4q9oUmW1yo/edit?usp=sharing"",""พิจิตร!I164"")"),0)</f>
        <v>0</v>
      </c>
      <c r="J244" s="187">
        <f ca="1">IFERROR(__xludf.DUMMYFUNCTION("IMPORTRANGE(""https://docs.google.com/spreadsheets/d/11923uPwbBZFjjGgGUA6NLw09EwE0CqkOc4q9oUmW1yo/edit?usp=sharing"",""พิจิตร!J164"")"),0)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IFERROR(__xludf.DUMMYFUNCTION("IMPORTRANGE(""https://docs.google.com/spreadsheets/d/11923uPwbBZFjjGgGUA6NLw09EwE0CqkOc4q9oUmW1yo/edit?usp=sharing"",""พิจิตร!J165"")"),0)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IFERROR(__xludf.DUMMYFUNCTION("IMPORTRANGE(""https://docs.google.com/spreadsheets/d/11923uPwbBZFjjGgGUA6NLw09EwE0CqkOc4q9oUmW1yo/edit?usp=sharing"",""พิจิตร!J166"")"),0)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IFERROR(__xludf.DUMMYFUNCTION("IMPORTRANGE(""https://docs.google.com/spreadsheets/d/11923uPwbBZFjjGgGUA6NLw09EwE0CqkOc4q9oUmW1yo/edit?usp=sharing"",""พิจิตร!I169"")"),0)</f>
        <v>0</v>
      </c>
      <c r="J249" s="316">
        <f ca="1">IFERROR(__xludf.DUMMYFUNCTION("IMPORTRANGE(""https://docs.google.com/spreadsheets/d/11923uPwbBZFjjGgGUA6NLw09EwE0CqkOc4q9oUmW1yo/edit?usp=sharing"",""พิจิตร!J169"")"),0)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IFERROR(__xludf.DUMMYFUNCTION("IMPORTRANGE(""https://docs.google.com/spreadsheets/d/1Yj_ptqi66GCucihVvJfMjLAmec39IyEx_6qawtMGysU/edit?usp=sharing"",""สบก!CB27"")"),0)</f>
        <v>0</v>
      </c>
      <c r="N254" s="168">
        <f ca="1">IFERROR(__xludf.DUMMYFUNCTION("IMPORTRANGE(""https://docs.google.com/spreadsheets/d/1Yj_ptqi66GCucihVvJfMjLAmec39IyEx_6qawtMGysU/edit?usp=sharing"",""สบก!CC27"")"),0)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IFERROR(__xludf.DUMMYFUNCTION("IMPORTRANGE(""https://docs.google.com/spreadsheets/d/1Yj_ptqi66GCucihVvJfMjLAmec39IyEx_6qawtMGysU/edit?usp=sharing"",""สบก!BX27"")"),0)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IFERROR(__xludf.DUMMYFUNCTION("IMPORTRANGE(""https://docs.google.com/spreadsheets/d/1Yj_ptqi66GCucihVvJfMjLAmec39IyEx_6qawtMGysU/edit?usp=sharing"",""สบก!BY27"")"),0)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IFERROR(__xludf.DUMMYFUNCTION("IMPORTRANGE(""https://docs.google.com/spreadsheets/d/1Yj_ptqi66GCucihVvJfMjLAmec39IyEx_6qawtMGysU/edit?usp=sharing"",""สบก!BZ27"")"),0)</f>
        <v>0</v>
      </c>
      <c r="M258" s="50"/>
      <c r="N258" s="50">
        <f ca="1">IFERROR(__xludf.DUMMYFUNCTION("IMPORTRANGE(""https://docs.google.com/spreadsheets/d/1Yj_ptqi66GCucihVvJfMjLAmec39IyEx_6qawtMGysU/edit?usp=sharing"",""สบก!CD27"")"),0)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IFERROR(__xludf.DUMMYFUNCTION("IMPORTRANGE(""https://docs.google.com/spreadsheets/d/11923uPwbBZFjjGgGUA6NLw09EwE0CqkOc4q9oUmW1yo/edit?usp=sharing"",""พิจิตร!J175"")"),0)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IFERROR(__xludf.DUMMYFUNCTION("IMPORTRANGE(""https://docs.google.com/spreadsheets/d/11923uPwbBZFjjGgGUA6NLw09EwE0CqkOc4q9oUmW1yo/edit?usp=sharing"",""พิจิตร!J176"")"),0)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IFERROR(__xludf.DUMMYFUNCTION("IMPORTRANGE(""https://docs.google.com/spreadsheets/d/11923uPwbBZFjjGgGUA6NLw09EwE0CqkOc4q9oUmW1yo/edit?usp=sharing"",""พิจิตร!J177"")"),0)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IFERROR(__xludf.DUMMYFUNCTION("IMPORTRANGE(""https://docs.google.com/spreadsheets/d/11923uPwbBZFjjGgGUA6NLw09EwE0CqkOc4q9oUmW1yo/edit?usp=sharing"",""พิจิตร!J178"")"),0)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IFERROR(__xludf.DUMMYFUNCTION("IMPORTRANGE(""https://docs.google.com/spreadsheets/d/11923uPwbBZFjjGgGUA6NLw09EwE0CqkOc4q9oUmW1yo/edit?usp=sharing"",""พิจิตร!I179"")"),0)</f>
        <v>0</v>
      </c>
      <c r="J264" s="188">
        <f ca="1">IFERROR(__xludf.DUMMYFUNCTION("IMPORTRANGE(""https://docs.google.com/spreadsheets/d/11923uPwbBZFjjGgGUA6NLw09EwE0CqkOc4q9oUmW1yo/edit?usp=sharing"",""พิจิตร!J179"")"),0)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IFERROR(__xludf.DUMMYFUNCTION("IMPORTRANGE(""https://docs.google.com/spreadsheets/d/11923uPwbBZFjjGgGUA6NLw09EwE0CqkOc4q9oUmW1yo/edit?usp=sharing"",""พิจิตร!I180"")"),0)</f>
        <v>0</v>
      </c>
      <c r="J265" s="188">
        <f ca="1">IFERROR(__xludf.DUMMYFUNCTION("IMPORTRANGE(""https://docs.google.com/spreadsheets/d/11923uPwbBZFjjGgGUA6NLw09EwE0CqkOc4q9oUmW1yo/edit?usp=sharing"",""พิจิตร!J180"")"),0)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IFERROR(__xludf.DUMMYFUNCTION("IMPORTRANGE(""https://docs.google.com/spreadsheets/d/11923uPwbBZFjjGgGUA6NLw09EwE0CqkOc4q9oUmW1yo/edit?usp=sharing"",""พิจิตร!I181"")"),0)</f>
        <v>0</v>
      </c>
      <c r="J266" s="188">
        <f ca="1">IFERROR(__xludf.DUMMYFUNCTION("IMPORTRANGE(""https://docs.google.com/spreadsheets/d/11923uPwbBZFjjGgGUA6NLw09EwE0CqkOc4q9oUmW1yo/edit?usp=sharing"",""พิจิตร!J181"")"),0)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IFERROR(__xludf.DUMMYFUNCTION("IMPORTRANGE(""https://docs.google.com/spreadsheets/d/11923uPwbBZFjjGgGUA6NLw09EwE0CqkOc4q9oUmW1yo/edit?usp=sharing"",""พิจิตร!I182"")"),0)</f>
        <v>0</v>
      </c>
      <c r="J267" s="188">
        <f ca="1">IFERROR(__xludf.DUMMYFUNCTION("IMPORTRANGE(""https://docs.google.com/spreadsheets/d/11923uPwbBZFjjGgGUA6NLw09EwE0CqkOc4q9oUmW1yo/edit?usp=sharing"",""พิจิตร!J182"")"),0)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IFERROR(__xludf.DUMMYFUNCTION("IMPORTRANGE(""https://docs.google.com/spreadsheets/d/11923uPwbBZFjjGgGUA6NLw09EwE0CqkOc4q9oUmW1yo/edit?usp=sharing"",""พิจิตร!J183"")"),0)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IFERROR(__xludf.DUMMYFUNCTION("IMPORTRANGE(""https://docs.google.com/spreadsheets/d/11923uPwbBZFjjGgGUA6NLw09EwE0CqkOc4q9oUmW1yo/edit?usp=sharing"",""พิจิตร!J184"")"),0)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IFERROR(__xludf.DUMMYFUNCTION("IMPORTRANGE(""https://docs.google.com/spreadsheets/d/11923uPwbBZFjjGgGUA6NLw09EwE0CqkOc4q9oUmW1yo/edit?usp=sharing"",""พิจิตร!I185"")"),0)</f>
        <v>0</v>
      </c>
      <c r="J270" s="316">
        <f ca="1">IFERROR(__xludf.DUMMYFUNCTION("IMPORTRANGE(""https://docs.google.com/spreadsheets/d/11923uPwbBZFjjGgGUA6NLw09EwE0CqkOc4q9oUmW1yo/edit?usp=sharing"",""พิจิตร!J185"")"),0)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IFERROR(__xludf.DUMMYFUNCTION("IMPORTRANGE(""https://docs.google.com/spreadsheets/d/1Yj_ptqi66GCucihVvJfMjLAmec39IyEx_6qawtMGysU/edit?usp=sharing"",""สบก!CK27"")"),0)</f>
        <v>0</v>
      </c>
      <c r="N275" s="168">
        <f ca="1">IFERROR(__xludf.DUMMYFUNCTION("IMPORTRANGE(""https://docs.google.com/spreadsheets/d/1Yj_ptqi66GCucihVvJfMjLAmec39IyEx_6qawtMGysU/edit?usp=sharing"",""สบก!CL27"")"),0)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IFERROR(__xludf.DUMMYFUNCTION("IMPORTRANGE(""https://docs.google.com/spreadsheets/d/1Yj_ptqi66GCucihVvJfMjLAmec39IyEx_6qawtMGysU/edit?usp=sharing"",""สบก!CG27"")"),0)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IFERROR(__xludf.DUMMYFUNCTION("IMPORTRANGE(""https://docs.google.com/spreadsheets/d/1Yj_ptqi66GCucihVvJfMjLAmec39IyEx_6qawtMGysU/edit?usp=sharing"",""สบก!CH27"")"),0)</f>
        <v>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IFERROR(__xludf.DUMMYFUNCTION("IMPORTRANGE(""https://docs.google.com/spreadsheets/d/1Yj_ptqi66GCucihVvJfMjLAmec39IyEx_6qawtMGysU/edit?usp=sharing"",""สบก!CI27"")"),0)</f>
        <v>0</v>
      </c>
      <c r="M279" s="50"/>
      <c r="N279" s="50">
        <f ca="1">IFERROR(__xludf.DUMMYFUNCTION("IMPORTRANGE(""https://docs.google.com/spreadsheets/d/1Yj_ptqi66GCucihVvJfMjLAmec39IyEx_6qawtMGysU/edit?usp=sharing"",""สบก!CM27"")"),0)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IFERROR(__xludf.DUMMYFUNCTION("IMPORTRANGE(""https://docs.google.com/spreadsheets/d/11923uPwbBZFjjGgGUA6NLw09EwE0CqkOc4q9oUmW1yo/edit?usp=sharing"",""พิจิตร!J191"")"),0)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IFERROR(__xludf.DUMMYFUNCTION("IMPORTRANGE(""https://docs.google.com/spreadsheets/d/11923uPwbBZFjjGgGUA6NLw09EwE0CqkOc4q9oUmW1yo/edit?usp=sharing"",""พิจิตร!J192"")"),0)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IFERROR(__xludf.DUMMYFUNCTION("IMPORTRANGE(""https://docs.google.com/spreadsheets/d/11923uPwbBZFjjGgGUA6NLw09EwE0CqkOc4q9oUmW1yo/edit?usp=sharing"",""พิจิตร!J193"")"),0)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IFERROR(__xludf.DUMMYFUNCTION("IMPORTRANGE(""https://docs.google.com/spreadsheets/d/11923uPwbBZFjjGgGUA6NLw09EwE0CqkOc4q9oUmW1yo/edit?usp=sharing"",""พิจิตร!J194"")"),0)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IFERROR(__xludf.DUMMYFUNCTION("IMPORTRANGE(""https://docs.google.com/spreadsheets/d/11923uPwbBZFjjGgGUA6NLw09EwE0CqkOc4q9oUmW1yo/edit?usp=sharing"",""พิจิตร!I195"")"),0)</f>
        <v>0</v>
      </c>
      <c r="J285" s="188">
        <f ca="1">IFERROR(__xludf.DUMMYFUNCTION("IMPORTRANGE(""https://docs.google.com/spreadsheets/d/11923uPwbBZFjjGgGUA6NLw09EwE0CqkOc4q9oUmW1yo/edit?usp=sharing"",""พิจิตร!J195"")"),0)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IFERROR(__xludf.DUMMYFUNCTION("IMPORTRANGE(""https://docs.google.com/spreadsheets/d/11923uPwbBZFjjGgGUA6NLw09EwE0CqkOc4q9oUmW1yo/edit?usp=sharing"",""พิจิตร!J196"")"),0)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IFERROR(__xludf.DUMMYFUNCTION("IMPORTRANGE(""https://docs.google.com/spreadsheets/d/11923uPwbBZFjjGgGUA6NLw09EwE0CqkOc4q9oUmW1yo/edit?usp=sharing"",""พิจิตร!J197"")"),0)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IFERROR(__xludf.DUMMYFUNCTION("IMPORTRANGE(""https://docs.google.com/spreadsheets/d/11923uPwbBZFjjGgGUA6NLw09EwE0CqkOc4q9oUmW1yo/edit?usp=sharing"",""พิจิตร!I199"")"),0)</f>
        <v>0</v>
      </c>
      <c r="J289" s="316">
        <f ca="1">IFERROR(__xludf.DUMMYFUNCTION("IMPORTRANGE(""https://docs.google.com/spreadsheets/d/11923uPwbBZFjjGgGUA6NLw09EwE0CqkOc4q9oUmW1yo/edit?usp=sharing"",""พิจิตร!J199"")"),0)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IFERROR(__xludf.DUMMYFUNCTION("IMPORTRANGE(""https://docs.google.com/spreadsheets/d/1Yj_ptqi66GCucihVvJfMjLAmec39IyEx_6qawtMGysU/edit?usp=sharing"",""สบก!CT27"")"),0)</f>
        <v>0</v>
      </c>
      <c r="N294" s="168">
        <f ca="1">IFERROR(__xludf.DUMMYFUNCTION("IMPORTRANGE(""https://docs.google.com/spreadsheets/d/1Yj_ptqi66GCucihVvJfMjLAmec39IyEx_6qawtMGysU/edit?usp=sharing"",""สบก!CU27"")"),0)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IFERROR(__xludf.DUMMYFUNCTION("IMPORTRANGE(""https://docs.google.com/spreadsheets/d/1Yj_ptqi66GCucihVvJfMjLAmec39IyEx_6qawtMGysU/edit?usp=sharing"",""สบก!CP27"")"),0)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IFERROR(__xludf.DUMMYFUNCTION("IMPORTRANGE(""https://docs.google.com/spreadsheets/d/1Yj_ptqi66GCucihVvJfMjLAmec39IyEx_6qawtMGysU/edit?usp=sharing"",""สบก!CQ27"")"),0)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IFERROR(__xludf.DUMMYFUNCTION("IMPORTRANGE(""https://docs.google.com/spreadsheets/d/1Yj_ptqi66GCucihVvJfMjLAmec39IyEx_6qawtMGysU/edit?usp=sharing"",""สบก!CR27"")"),0)</f>
        <v>0</v>
      </c>
      <c r="M298" s="50"/>
      <c r="N298" s="50">
        <f ca="1">IFERROR(__xludf.DUMMYFUNCTION("IMPORTRANGE(""https://docs.google.com/spreadsheets/d/1Yj_ptqi66GCucihVvJfMjLAmec39IyEx_6qawtMGysU/edit?usp=sharing"",""สบก!CV27"")"),0)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IFERROR(__xludf.DUMMYFUNCTION("IMPORTRANGE(""https://docs.google.com/spreadsheets/d/11923uPwbBZFjjGgGUA6NLw09EwE0CqkOc4q9oUmW1yo/edit?usp=sharing"",""พิจิตร!J205"")"),0)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IFERROR(__xludf.DUMMYFUNCTION("IMPORTRANGE(""https://docs.google.com/spreadsheets/d/11923uPwbBZFjjGgGUA6NLw09EwE0CqkOc4q9oUmW1yo/edit?usp=sharing"",""พิจิตร!J206"")"),0)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IFERROR(__xludf.DUMMYFUNCTION("IMPORTRANGE(""https://docs.google.com/spreadsheets/d/11923uPwbBZFjjGgGUA6NLw09EwE0CqkOc4q9oUmW1yo/edit?usp=sharing"",""พิจิตร!J207"")"),0)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IFERROR(__xludf.DUMMYFUNCTION("IMPORTRANGE(""https://docs.google.com/spreadsheets/d/11923uPwbBZFjjGgGUA6NLw09EwE0CqkOc4q9oUmW1yo/edit?usp=sharing"",""พิจิตร!J208"")"),0)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IFERROR(__xludf.DUMMYFUNCTION("IMPORTRANGE(""https://docs.google.com/spreadsheets/d/11923uPwbBZFjjGgGUA6NLw09EwE0CqkOc4q9oUmW1yo/edit?usp=sharing"",""พิจิตร!I209"")"),0)</f>
        <v>0</v>
      </c>
      <c r="J304" s="203">
        <f ca="1">IFERROR(__xludf.DUMMYFUNCTION("IMPORTRANGE(""https://docs.google.com/spreadsheets/d/11923uPwbBZFjjGgGUA6NLw09EwE0CqkOc4q9oUmW1yo/edit?usp=sharing"",""พิจิตร!J209"")"),0)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IFERROR(__xludf.DUMMYFUNCTION("IMPORTRANGE(""https://docs.google.com/spreadsheets/d/11923uPwbBZFjjGgGUA6NLw09EwE0CqkOc4q9oUmW1yo/edit?usp=sharing"",""พิจิตร!I211"")"),0)</f>
        <v>0</v>
      </c>
      <c r="J306" s="203">
        <f ca="1">IFERROR(__xludf.DUMMYFUNCTION("IMPORTRANGE(""https://docs.google.com/spreadsheets/d/11923uPwbBZFjjGgGUA6NLw09EwE0CqkOc4q9oUmW1yo/edit?usp=sharing"",""พิจิตร!J211"")"),0)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IFERROR(__xludf.DUMMYFUNCTION("IMPORTRANGE(""https://docs.google.com/spreadsheets/d/11923uPwbBZFjjGgGUA6NLw09EwE0CqkOc4q9oUmW1yo/edit?usp=sharing"",""พิจิตร!J212"")"),0)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IFERROR(__xludf.DUMMYFUNCTION("IMPORTRANGE(""https://docs.google.com/spreadsheets/d/11923uPwbBZFjjGgGUA6NLw09EwE0CqkOc4q9oUmW1yo/edit?usp=sharing"",""พิจิตร!J213"")"),0)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IFERROR(__xludf.DUMMYFUNCTION("IMPORTRANGE(""https://docs.google.com/spreadsheets/d/11923uPwbBZFjjGgGUA6NLw09EwE0CqkOc4q9oUmW1yo/edit?usp=sharing"",""พิจิตร!I214"")"),0)</f>
        <v>0</v>
      </c>
      <c r="J309" s="333">
        <f ca="1">IFERROR(__xludf.DUMMYFUNCTION("IMPORTRANGE(""https://docs.google.com/spreadsheets/d/11923uPwbBZFjjGgGUA6NLw09EwE0CqkOc4q9oUmW1yo/edit?usp=sharing"",""พิจิตร!J214"")"),0)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IFERROR(__xludf.DUMMYFUNCTION("IMPORTRANGE(""https://docs.google.com/spreadsheets/d/1Yj_ptqi66GCucihVvJfMjLAmec39IyEx_6qawtMGysU/edit?usp=sharing"",""สบก!DC27"")"),0)</f>
        <v>0</v>
      </c>
      <c r="N314" s="168">
        <f ca="1">IFERROR(__xludf.DUMMYFUNCTION("IMPORTRANGE(""https://docs.google.com/spreadsheets/d/1Yj_ptqi66GCucihVvJfMjLAmec39IyEx_6qawtMGysU/edit?usp=sharing"",""สบก!DD27"")"),0)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IFERROR(__xludf.DUMMYFUNCTION("IMPORTRANGE(""https://docs.google.com/spreadsheets/d/1Yj_ptqi66GCucihVvJfMjLAmec39IyEx_6qawtMGysU/edit?usp=sharing"",""สบก!CY27"")"),0)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IFERROR(__xludf.DUMMYFUNCTION("IMPORTRANGE(""https://docs.google.com/spreadsheets/d/1Yj_ptqi66GCucihVvJfMjLAmec39IyEx_6qawtMGysU/edit?usp=sharing"",""สบก!CZ27"")"),0)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IFERROR(__xludf.DUMMYFUNCTION("IMPORTRANGE(""https://docs.google.com/spreadsheets/d/1Yj_ptqi66GCucihVvJfMjLAmec39IyEx_6qawtMGysU/edit?usp=sharing"",""สบก!DA27"")"),0)</f>
        <v>0</v>
      </c>
      <c r="M318" s="50"/>
      <c r="N318" s="50">
        <f ca="1">IFERROR(__xludf.DUMMYFUNCTION("IMPORTRANGE(""https://docs.google.com/spreadsheets/d/1Yj_ptqi66GCucihVvJfMjLAmec39IyEx_6qawtMGysU/edit?usp=sharing"",""สบก!DE27"")"),0)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IFERROR(__xludf.DUMMYFUNCTION("IMPORTRANGE(""https://docs.google.com/spreadsheets/d/11923uPwbBZFjjGgGUA6NLw09EwE0CqkOc4q9oUmW1yo/edit?usp=sharing"",""พิจิตร!J220"")"),0)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IFERROR(__xludf.DUMMYFUNCTION("IMPORTRANGE(""https://docs.google.com/spreadsheets/d/11923uPwbBZFjjGgGUA6NLw09EwE0CqkOc4q9oUmW1yo/edit?usp=sharing"",""พิจิตร!J221"")"),0)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IFERROR(__xludf.DUMMYFUNCTION("IMPORTRANGE(""https://docs.google.com/spreadsheets/d/11923uPwbBZFjjGgGUA6NLw09EwE0CqkOc4q9oUmW1yo/edit?usp=sharing"",""พิจิตร!J222"")"),0)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IFERROR(__xludf.DUMMYFUNCTION("IMPORTRANGE(""https://docs.google.com/spreadsheets/d/11923uPwbBZFjjGgGUA6NLw09EwE0CqkOc4q9oUmW1yo/edit?usp=sharing"",""พิจิตร!J223"")"),0)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IFERROR(__xludf.DUMMYFUNCTION("IMPORTRANGE(""https://docs.google.com/spreadsheets/d/11923uPwbBZFjjGgGUA6NLw09EwE0CqkOc4q9oUmW1yo/edit?usp=sharing"",""พิจิตร!I224"")"),0)</f>
        <v>0</v>
      </c>
      <c r="J324" s="203">
        <f ca="1">IFERROR(__xludf.DUMMYFUNCTION("IMPORTRANGE(""https://docs.google.com/spreadsheets/d/11923uPwbBZFjjGgGUA6NLw09EwE0CqkOc4q9oUmW1yo/edit?usp=sharing"",""พิจิตร!J224"")"),0)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IFERROR(__xludf.DUMMYFUNCTION("IMPORTRANGE(""https://docs.google.com/spreadsheets/d/11923uPwbBZFjjGgGUA6NLw09EwE0CqkOc4q9oUmW1yo/edit?usp=sharing"",""พิจิตร!J225"")"),0)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IFERROR(__xludf.DUMMYFUNCTION("IMPORTRANGE(""https://docs.google.com/spreadsheets/d/11923uPwbBZFjjGgGUA6NLw09EwE0CqkOc4q9oUmW1yo/edit?usp=sharing"",""พิจิตร!J226"")"),0)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IFERROR(__xludf.DUMMYFUNCTION("IMPORTRANGE(""https://docs.google.com/spreadsheets/d/11923uPwbBZFjjGgGUA6NLw09EwE0CqkOc4q9oUmW1yo/edit?usp=sharing"",""พิจิตร!I228"")"),530)</f>
        <v>530</v>
      </c>
      <c r="J328" s="339">
        <f ca="1">IFERROR(__xludf.DUMMYFUNCTION("IMPORTRANGE(""https://docs.google.com/spreadsheets/d/11923uPwbBZFjjGgGUA6NLw09EwE0CqkOc4q9oUmW1yo/edit?usp=sharing"",""พิจิตร!J228"")"),87)</f>
        <v>87</v>
      </c>
      <c r="K328" s="317">
        <f ca="1">IF(I328&gt;0,J328*100/I328,0)</f>
        <v>16.415094339622641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1342340</v>
      </c>
      <c r="M329" s="152">
        <f t="shared" ca="1" si="98"/>
        <v>1020650</v>
      </c>
      <c r="N329" s="152">
        <f t="shared" ca="1" si="98"/>
        <v>770606.09</v>
      </c>
      <c r="O329" s="151">
        <f t="shared" ref="O329:O331" ca="1" si="99">IF(L329&gt;0,N329*100/L329,0)</f>
        <v>57.407667952977633</v>
      </c>
      <c r="P329" s="151">
        <f t="shared" ref="P329:P331" ca="1" si="100">IF(M329&gt;0,N329*100/M329,0)</f>
        <v>75.501502963797577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1342340</v>
      </c>
      <c r="M331" s="88">
        <f t="shared" ca="1" si="102"/>
        <v>1020650</v>
      </c>
      <c r="N331" s="88">
        <f t="shared" ca="1" si="102"/>
        <v>770606.09</v>
      </c>
      <c r="O331" s="156">
        <f t="shared" ca="1" si="99"/>
        <v>57.407667952977633</v>
      </c>
      <c r="P331" s="156">
        <f t="shared" ca="1" si="100"/>
        <v>75.501502963797577</v>
      </c>
    </row>
    <row r="332" spans="1:16" ht="21.75" customHeight="1" x14ac:dyDescent="0.45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1266740</v>
      </c>
      <c r="M333" s="167">
        <f ca="1">IFERROR(__xludf.DUMMYFUNCTION("IMPORTRANGE(""https://docs.google.com/spreadsheets/d/1Yj_ptqi66GCucihVvJfMjLAmec39IyEx_6qawtMGysU/edit?usp=sharing"",""สบก!DL27"")"),945050)</f>
        <v>945050</v>
      </c>
      <c r="N333" s="168">
        <f ca="1">IFERROR(__xludf.DUMMYFUNCTION("IMPORTRANGE(""https://docs.google.com/spreadsheets/d/1Yj_ptqi66GCucihVvJfMjLAmec39IyEx_6qawtMGysU/edit?usp=sharing"",""สบก!DM27"")"),695006.09)</f>
        <v>695006.09</v>
      </c>
      <c r="O333" s="168">
        <f ca="1">IF(L333&gt;0,N333*100/L333,0)</f>
        <v>54.865725405371265</v>
      </c>
      <c r="P333" s="168">
        <f ca="1">IF(M333&gt;0,N333*100/M333,0)</f>
        <v>73.541726892756998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IFERROR(__xludf.DUMMYFUNCTION("IMPORTRANGE(""https://docs.google.com/spreadsheets/d/1Yj_ptqi66GCucihVvJfMjLAmec39IyEx_6qawtMGysU/edit?usp=sharing"",""สบก!DH27"")"),854600)</f>
        <v>854600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IFERROR(__xludf.DUMMYFUNCTION("IMPORTRANGE(""https://docs.google.com/spreadsheets/d/1Yj_ptqi66GCucihVvJfMjLAmec39IyEx_6qawtMGysU/edit?usp=sharing"",""สบก!DI27"")"),412140)</f>
        <v>412140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IFERROR(__xludf.DUMMYFUNCTION("IMPORTRANGE(""https://docs.google.com/spreadsheets/d/1Yj_ptqi66GCucihVvJfMjLAmec39IyEx_6qawtMGysU/edit?usp=sharing"",""สบก!DJ27"")"),75600)</f>
        <v>75600</v>
      </c>
      <c r="M337" s="50">
        <f ca="1">L337</f>
        <v>75600</v>
      </c>
      <c r="N337" s="50">
        <f ca="1">IFERROR(__xludf.DUMMYFUNCTION("IMPORTRANGE(""https://docs.google.com/spreadsheets/d/1Yj_ptqi66GCucihVvJfMjLAmec39IyEx_6qawtMGysU/edit?usp=sharing"",""สบก!DN27"")"),75600)</f>
        <v>75600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IFERROR(__xludf.DUMMYFUNCTION("IMPORTRANGE(""https://docs.google.com/spreadsheets/d/11923uPwbBZFjjGgGUA6NLw09EwE0CqkOc4q9oUmW1yo/edit?usp=sharing"",""พิจิตร!I234"")"),0)</f>
        <v>0</v>
      </c>
      <c r="J339" s="187">
        <f ca="1">IFERROR(__xludf.DUMMYFUNCTION("IMPORTRANGE(""https://docs.google.com/spreadsheets/d/11923uPwbBZFjjGgGUA6NLw09EwE0CqkOc4q9oUmW1yo/edit?usp=sharing"",""พิจิตร!J234"")"),45)</f>
        <v>45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IFERROR(__xludf.DUMMYFUNCTION("IMPORTRANGE(""https://docs.google.com/spreadsheets/d/11923uPwbBZFjjGgGUA6NLw09EwE0CqkOc4q9oUmW1yo/edit?usp=sharing"",""พิจิตร!I235"")"),1700)</f>
        <v>1700</v>
      </c>
      <c r="J340" s="187">
        <f ca="1">IFERROR(__xludf.DUMMYFUNCTION("IMPORTRANGE(""https://docs.google.com/spreadsheets/d/11923uPwbBZFjjGgGUA6NLw09EwE0CqkOc4q9oUmW1yo/edit?usp=sharing"",""พิจิตร!J235"")"),405.64)</f>
        <v>405.64</v>
      </c>
      <c r="K340" s="342">
        <f t="shared" ca="1" si="103"/>
        <v>23.861176470588234</v>
      </c>
      <c r="L340" s="181"/>
      <c r="M340" s="181"/>
      <c r="N340" s="181"/>
      <c r="O340" s="343"/>
      <c r="P340" s="343"/>
    </row>
    <row r="341" spans="1:16" ht="21.75" customHeight="1" x14ac:dyDescent="0.3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IFERROR(__xludf.DUMMYFUNCTION("IMPORTRANGE(""https://docs.google.com/spreadsheets/d/11923uPwbBZFjjGgGUA6NLw09EwE0CqkOc4q9oUmW1yo/edit?usp=sharing"",""พิจิตร!I236"")"),530)</f>
        <v>530</v>
      </c>
      <c r="J341" s="187">
        <f ca="1">IFERROR(__xludf.DUMMYFUNCTION("IMPORTRANGE(""https://docs.google.com/spreadsheets/d/11923uPwbBZFjjGgGUA6NLw09EwE0CqkOc4q9oUmW1yo/edit?usp=sharing"",""พิจิตร!J236"")"),126)</f>
        <v>126</v>
      </c>
      <c r="K341" s="342">
        <f t="shared" ca="1" si="103"/>
        <v>23.773584905660378</v>
      </c>
      <c r="L341" s="181"/>
      <c r="M341" s="181"/>
      <c r="N341" s="181"/>
      <c r="O341" s="343"/>
      <c r="P341" s="343"/>
    </row>
    <row r="342" spans="1:16" ht="21.75" customHeight="1" x14ac:dyDescent="0.3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IFERROR(__xludf.DUMMYFUNCTION("IMPORTRANGE(""https://docs.google.com/spreadsheets/d/11923uPwbBZFjjGgGUA6NLw09EwE0CqkOc4q9oUmW1yo/edit?usp=sharing"",""พิจิตร!I237"")"),0)</f>
        <v>0</v>
      </c>
      <c r="J342" s="187">
        <f ca="1">IFERROR(__xludf.DUMMYFUNCTION("IMPORTRANGE(""https://docs.google.com/spreadsheets/d/11923uPwbBZFjjGgGUA6NLw09EwE0CqkOc4q9oUmW1yo/edit?usp=sharing"",""พิจิตร!J237"")"),1694.51)</f>
        <v>1694.51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IFERROR(__xludf.DUMMYFUNCTION("IMPORTRANGE(""https://docs.google.com/spreadsheets/d/11923uPwbBZFjjGgGUA6NLw09EwE0CqkOc4q9oUmW1yo/edit?usp=sharing"",""พิจิตร!I238"")"),530)</f>
        <v>530</v>
      </c>
      <c r="J343" s="187">
        <f ca="1">IFERROR(__xludf.DUMMYFUNCTION("IMPORTRANGE(""https://docs.google.com/spreadsheets/d/11923uPwbBZFjjGgGUA6NLw09EwE0CqkOc4q9oUmW1yo/edit?usp=sharing"",""พิจิตร!J238"")"),0)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IFERROR(__xludf.DUMMYFUNCTION("IMPORTRANGE(""https://docs.google.com/spreadsheets/d/11923uPwbBZFjjGgGUA6NLw09EwE0CqkOc4q9oUmW1yo/edit?usp=sharing"",""พิจิตร!I239"")"),0)</f>
        <v>0</v>
      </c>
      <c r="J344" s="187">
        <f ca="1">IFERROR(__xludf.DUMMYFUNCTION("IMPORTRANGE(""https://docs.google.com/spreadsheets/d/11923uPwbBZFjjGgGUA6NLw09EwE0CqkOc4q9oUmW1yo/edit?usp=sharing"",""พิจิตร!J239"")"),0)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IFERROR(__xludf.DUMMYFUNCTION("IMPORTRANGE(""https://docs.google.com/spreadsheets/d/11923uPwbBZFjjGgGUA6NLw09EwE0CqkOc4q9oUmW1yo/edit?usp=sharing"",""พิจิตร!I240"")"),530)</f>
        <v>530</v>
      </c>
      <c r="J345" s="187">
        <f ca="1">IFERROR(__xludf.DUMMYFUNCTION("IMPORTRANGE(""https://docs.google.com/spreadsheets/d/11923uPwbBZFjjGgGUA6NLw09EwE0CqkOc4q9oUmW1yo/edit?usp=sharing"",""พิจิตร!J240"")"),87)</f>
        <v>87</v>
      </c>
      <c r="K345" s="342">
        <f t="shared" ca="1" si="103"/>
        <v>16.415094339622641</v>
      </c>
      <c r="L345" s="181"/>
      <c r="M345" s="181"/>
      <c r="N345" s="181"/>
      <c r="O345" s="343"/>
      <c r="P345" s="343"/>
    </row>
    <row r="346" spans="1:16" ht="21.75" customHeight="1" x14ac:dyDescent="0.3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IFERROR(__xludf.DUMMYFUNCTION("IMPORTRANGE(""https://docs.google.com/spreadsheets/d/11923uPwbBZFjjGgGUA6NLw09EwE0CqkOc4q9oUmW1yo/edit?usp=sharing"",""พิจิตร!I241"")"),0)</f>
        <v>0</v>
      </c>
      <c r="J346" s="187">
        <f ca="1">IFERROR(__xludf.DUMMYFUNCTION("IMPORTRANGE(""https://docs.google.com/spreadsheets/d/11923uPwbBZFjjGgGUA6NLw09EwE0CqkOc4q9oUmW1yo/edit?usp=sharing"",""พิจิตร!J241"")"),1271.33)</f>
        <v>1271.33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IFERROR(__xludf.DUMMYFUNCTION("IMPORTRANGE(""https://docs.google.com/spreadsheets/d/11923uPwbBZFjjGgGUA6NLw09EwE0CqkOc4q9oUmW1yo/edit?usp=sharing"",""พิจิตร!L242"")"),2018547)</f>
        <v>2018547</v>
      </c>
      <c r="M347" s="357"/>
      <c r="N347" s="357">
        <f ca="1">IFERROR(__xludf.DUMMYFUNCTION("IMPORTRANGE(""https://docs.google.com/spreadsheets/d/11923uPwbBZFjjGgGUA6NLw09EwE0CqkOc4q9oUmW1yo/edit?usp=sharing"",""พิจิตร!M242"")"),791511.309999999)</f>
        <v>791511.30999999901</v>
      </c>
      <c r="O347" s="357">
        <f ca="1">+IF(L347&gt;0,N347*100/L347,0)</f>
        <v>39.211933633450151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IFERROR(__xludf.DUMMYFUNCTION("IMPORTRANGE(""https://docs.google.com/spreadsheets/d/11923uPwbBZFjjGgGUA6NLw09EwE0CqkOc4q9oUmW1yo/edit?usp=sharing"",""พิจิตร!I244"")"),160)</f>
        <v>160</v>
      </c>
      <c r="J349" s="370">
        <f ca="1">IFERROR(__xludf.DUMMYFUNCTION("IMPORTRANGE(""https://docs.google.com/spreadsheets/d/11923uPwbBZFjjGgGUA6NLw09EwE0CqkOc4q9oUmW1yo/edit?usp=sharing"",""พิจิตร!J244"")"),0)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IFERROR(__xludf.DUMMYFUNCTION("IMPORTRANGE(""https://docs.google.com/spreadsheets/d/11923uPwbBZFjjGgGUA6NLw09EwE0CqkOc4q9oUmW1yo/edit?usp=sharing"",""พิจิตร!L244"")"),406480)</f>
        <v>406480</v>
      </c>
      <c r="M349" s="372"/>
      <c r="N349" s="372">
        <f ca="1">IFERROR(__xludf.DUMMYFUNCTION("IMPORTRANGE(""https://docs.google.com/spreadsheets/d/11923uPwbBZFjjGgGUA6NLw09EwE0CqkOc4q9oUmW1yo/edit?usp=sharing"",""พิจิตร!M244"")"),158447.7)</f>
        <v>158447.70000000001</v>
      </c>
      <c r="O349" s="372">
        <f ca="1">+IF(L349&gt;0,N349*100/L349,0)</f>
        <v>38.980441842157063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IFERROR(__xludf.DUMMYFUNCTION("IMPORTRANGE(""https://docs.google.com/spreadsheets/d/11923uPwbBZFjjGgGUA6NLw09EwE0CqkOc4q9oUmW1yo/edit?usp=sharing"",""พิจิตร!I245"")"),60)</f>
        <v>60</v>
      </c>
      <c r="J350" s="370">
        <f ca="1">IFERROR(__xludf.DUMMYFUNCTION("IMPORTRANGE(""https://docs.google.com/spreadsheets/d/11923uPwbBZFjjGgGUA6NLw09EwE0CqkOc4q9oUmW1yo/edit?usp=sharing"",""พิจิตร!J245"")"),60)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IFERROR(__xludf.DUMMYFUNCTION("IMPORTRANGE(""https://docs.google.com/spreadsheets/d/11923uPwbBZFjjGgGUA6NLw09EwE0CqkOc4q9oUmW1yo/edit?usp=sharing"",""พิจิตร!L246"")"),0)</f>
        <v>0</v>
      </c>
      <c r="M351" s="164"/>
      <c r="N351" s="164">
        <f ca="1">IFERROR(__xludf.DUMMYFUNCTION("IMPORTRANGE(""https://docs.google.com/spreadsheets/d/11923uPwbBZFjjGgGUA6NLw09EwE0CqkOc4q9oUmW1yo/edit?usp=sharing"",""พิจิตร!M246"")"),0)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IFERROR(__xludf.DUMMYFUNCTION("IMPORTRANGE(""https://docs.google.com/spreadsheets/d/11923uPwbBZFjjGgGUA6NLw09EwE0CqkOc4q9oUmW1yo/edit?usp=sharing"",""พิจิตร!L247"")"),406480)</f>
        <v>406480</v>
      </c>
      <c r="M352" s="165"/>
      <c r="N352" s="164">
        <f ca="1">IFERROR(__xludf.DUMMYFUNCTION("IMPORTRANGE(""https://docs.google.com/spreadsheets/d/11923uPwbBZFjjGgGUA6NLw09EwE0CqkOc4q9oUmW1yo/edit?usp=sharing"",""พิจิตร!M247"")"),158447.7)</f>
        <v>158447.70000000001</v>
      </c>
      <c r="O352" s="165">
        <f t="shared" ca="1" si="105"/>
        <v>38.980441842157063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IFERROR(__xludf.DUMMYFUNCTION("IMPORTRANGE(""https://docs.google.com/spreadsheets/d/11923uPwbBZFjjGgGUA6NLw09EwE0CqkOc4q9oUmW1yo/edit?usp=sharing"",""พิจิตร!L248"")"),0)</f>
        <v>0</v>
      </c>
      <c r="M353" s="168"/>
      <c r="N353" s="168">
        <f ca="1">IFERROR(__xludf.DUMMYFUNCTION("IMPORTRANGE(""https://docs.google.com/spreadsheets/d/11923uPwbBZFjjGgGUA6NLw09EwE0CqkOc4q9oUmW1yo/edit?usp=sharing"",""พิจิตร!M248"")"),0)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IFERROR(__xludf.DUMMYFUNCTION("IMPORTRANGE(""https://docs.google.com/spreadsheets/d/11923uPwbBZFjjGgGUA6NLw09EwE0CqkOc4q9oUmW1yo/edit?usp=sharing"",""พิจิตร!L249"")"),406480)</f>
        <v>406480</v>
      </c>
      <c r="M354" s="168"/>
      <c r="N354" s="167">
        <f ca="1">IFERROR(__xludf.DUMMYFUNCTION("IMPORTRANGE(""https://docs.google.com/spreadsheets/d/11923uPwbBZFjjGgGUA6NLw09EwE0CqkOc4q9oUmW1yo/edit?usp=sharing"",""พิจิตร!M249"")"),158447.7)</f>
        <v>158447.70000000001</v>
      </c>
      <c r="O354" s="168">
        <f t="shared" ca="1" si="105"/>
        <v>38.980441842157063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IFERROR(__xludf.DUMMYFUNCTION("IMPORTRANGE(""https://docs.google.com/spreadsheets/d/11923uPwbBZFjjGgGUA6NLw09EwE0CqkOc4q9oUmW1yo/edit?usp=sharing"",""พิจิตร!M250"")"),66896)</f>
        <v>66896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IFERROR(__xludf.DUMMYFUNCTION("IMPORTRANGE(""https://docs.google.com/spreadsheets/d/11923uPwbBZFjjGgGUA6NLw09EwE0CqkOc4q9oUmW1yo/edit?usp=sharing"",""พิจิตร!M251"")"),0)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IFERROR(__xludf.DUMMYFUNCTION("IMPORTRANGE(""https://docs.google.com/spreadsheets/d/11923uPwbBZFjjGgGUA6NLw09EwE0CqkOc4q9oUmW1yo/edit?usp=sharing"",""พิจิตร!M252"")"),82051.7)</f>
        <v>82051.7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IFERROR(__xludf.DUMMYFUNCTION("IMPORTRANGE(""https://docs.google.com/spreadsheets/d/11923uPwbBZFjjGgGUA6NLw09EwE0CqkOc4q9oUmW1yo/edit?usp=sharing"",""พิจิตร!M253"")"),9500)</f>
        <v>9500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IFERROR(__xludf.DUMMYFUNCTION("IMPORTRANGE(""https://docs.google.com/spreadsheets/d/11923uPwbBZFjjGgGUA6NLw09EwE0CqkOc4q9oUmW1yo/edit?usp=sharing"",""พิจิตร!J255"")"),0)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IFERROR(__xludf.DUMMYFUNCTION("IMPORTRANGE(""https://docs.google.com/spreadsheets/d/11923uPwbBZFjjGgGUA6NLw09EwE0CqkOc4q9oUmW1yo/edit?usp=sharing"",""พิจิตร!J256"")"),1)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IFERROR(__xludf.DUMMYFUNCTION("IMPORTRANGE(""https://docs.google.com/spreadsheets/d/11923uPwbBZFjjGgGUA6NLw09EwE0CqkOc4q9oUmW1yo/edit?usp=sharing"",""พิจิตร!J257"")"),0)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IFERROR(__xludf.DUMMYFUNCTION("IMPORTRANGE(""https://docs.google.com/spreadsheets/d/11923uPwbBZFjjGgGUA6NLw09EwE0CqkOc4q9oUmW1yo/edit?usp=sharing"",""พิจิตร!J258"")"),1)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IFERROR(__xludf.DUMMYFUNCTION("IMPORTRANGE(""https://docs.google.com/spreadsheets/d/11923uPwbBZFjjGgGUA6NLw09EwE0CqkOc4q9oUmW1yo/edit?usp=sharing"",""พิจิตร!J166"")"),0)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IFERROR(__xludf.DUMMYFUNCTION("IMPORTRANGE(""https://docs.google.com/spreadsheets/d/11923uPwbBZFjjGgGUA6NLw09EwE0CqkOc4q9oUmW1yo/edit?usp=sharing"",""พิจิตร!J166"")"),0)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IFERROR(__xludf.DUMMYFUNCTION("IMPORTRANGE(""https://docs.google.com/spreadsheets/d/11923uPwbBZFjjGgGUA6NLw09EwE0CqkOc4q9oUmW1yo/edit?usp=sharing"",""พิจิตร!J166"")"),0)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IFERROR(__xludf.DUMMYFUNCTION("IMPORTRANGE(""https://docs.google.com/spreadsheets/d/11923uPwbBZFjjGgGUA6NLw09EwE0CqkOc4q9oUmW1yo/edit?usp=sharing"",""พิจิตร!J166"")"),0)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IFERROR(__xludf.DUMMYFUNCTION("IMPORTRANGE(""https://docs.google.com/spreadsheets/d/11923uPwbBZFjjGgGUA6NLw09EwE0CqkOc4q9oUmW1yo/edit?usp=sharing"",""พิจิตร!I263"")"),60)</f>
        <v>60</v>
      </c>
      <c r="J368" s="187">
        <f ca="1">IFERROR(__xludf.DUMMYFUNCTION("IMPORTRANGE(""https://docs.google.com/spreadsheets/d/11923uPwbBZFjjGgGUA6NLw09EwE0CqkOc4q9oUmW1yo/edit?usp=sharing"",""พิจิตร!J263"")"),60)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IFERROR(__xludf.DUMMYFUNCTION("IMPORTRANGE(""https://docs.google.com/spreadsheets/d/11923uPwbBZFjjGgGUA6NLw09EwE0CqkOc4q9oUmW1yo/edit?usp=sharing"",""พิจิตร!I164"")"),0)</f>
        <v>0</v>
      </c>
      <c r="J369" s="203">
        <f ca="1">IFERROR(__xludf.DUMMYFUNCTION("IMPORTRANGE(""https://docs.google.com/spreadsheets/d/11923uPwbBZFjjGgGUA6NLw09EwE0CqkOc4q9oUmW1yo/edit?usp=sharing"",""พิจิตร!J164"")"),0)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IFERROR(__xludf.DUMMYFUNCTION("IMPORTRANGE(""https://docs.google.com/spreadsheets/d/11923uPwbBZFjjGgGUA6NLw09EwE0CqkOc4q9oUmW1yo/edit?usp=sharing"",""พิจิตร!I265"")"),60)</f>
        <v>60</v>
      </c>
      <c r="J370" s="203">
        <f ca="1">IFERROR(__xludf.DUMMYFUNCTION("IMPORTRANGE(""https://docs.google.com/spreadsheets/d/11923uPwbBZFjjGgGUA6NLw09EwE0CqkOc4q9oUmW1yo/edit?usp=sharing"",""พิจิตร!J265"")"),40)</f>
        <v>40</v>
      </c>
      <c r="K370" s="163">
        <f t="shared" ca="1" si="106"/>
        <v>66.666666666666671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IFERROR(__xludf.DUMMYFUNCTION("IMPORTRANGE(""https://docs.google.com/spreadsheets/d/11923uPwbBZFjjGgGUA6NLw09EwE0CqkOc4q9oUmW1yo/edit?usp=sharing"",""พิจิตร!I164"")"),0)</f>
        <v>0</v>
      </c>
      <c r="J371" s="188">
        <f ca="1">IFERROR(__xludf.DUMMYFUNCTION("IMPORTRANGE(""https://docs.google.com/spreadsheets/d/11923uPwbBZFjjGgGUA6NLw09EwE0CqkOc4q9oUmW1yo/edit?usp=sharing"",""พิจิตร!J164"")"),0)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IFERROR(__xludf.DUMMYFUNCTION("IMPORTRANGE(""https://docs.google.com/spreadsheets/d/11923uPwbBZFjjGgGUA6NLw09EwE0CqkOc4q9oUmW1yo/edit?usp=sharing"",""พิจิตร!I267"")"),60)</f>
        <v>60</v>
      </c>
      <c r="J372" s="188">
        <f ca="1">IFERROR(__xludf.DUMMYFUNCTION("IMPORTRANGE(""https://docs.google.com/spreadsheets/d/11923uPwbBZFjjGgGUA6NLw09EwE0CqkOc4q9oUmW1yo/edit?usp=sharing"",""พิจิตร!J267"")"),20)</f>
        <v>20</v>
      </c>
      <c r="K372" s="163">
        <f t="shared" ca="1" si="106"/>
        <v>33.333333333333336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IFERROR(__xludf.DUMMYFUNCTION("IMPORTRANGE(""https://docs.google.com/spreadsheets/d/11923uPwbBZFjjGgGUA6NLw09EwE0CqkOc4q9oUmW1yo/edit?usp=sharing"",""พิจิตร!I164"")"),0)</f>
        <v>0</v>
      </c>
      <c r="J373" s="203">
        <f ca="1">IFERROR(__xludf.DUMMYFUNCTION("IMPORTRANGE(""https://docs.google.com/spreadsheets/d/11923uPwbBZFjjGgGUA6NLw09EwE0CqkOc4q9oUmW1yo/edit?usp=sharing"",""พิจิตร!J164"")"),0)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IFERROR(__xludf.DUMMYFUNCTION("IMPORTRANGE(""https://docs.google.com/spreadsheets/d/11923uPwbBZFjjGgGUA6NLw09EwE0CqkOc4q9oUmW1yo/edit?usp=sharing"",""พิจิตร!I164"")"),0)</f>
        <v>0</v>
      </c>
      <c r="J374" s="187">
        <f ca="1">IFERROR(__xludf.DUMMYFUNCTION("IMPORTRANGE(""https://docs.google.com/spreadsheets/d/11923uPwbBZFjjGgGUA6NLw09EwE0CqkOc4q9oUmW1yo/edit?usp=sharing"",""พิจิตร!J164"")"),0)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IFERROR(__xludf.DUMMYFUNCTION("IMPORTRANGE(""https://docs.google.com/spreadsheets/d/11923uPwbBZFjjGgGUA6NLw09EwE0CqkOc4q9oUmW1yo/edit?usp=sharing"",""พิจิตร!I270"")"),160)</f>
        <v>160</v>
      </c>
      <c r="J375" s="187">
        <f ca="1">IFERROR(__xludf.DUMMYFUNCTION("IMPORTRANGE(""https://docs.google.com/spreadsheets/d/11923uPwbBZFjjGgGUA6NLw09EwE0CqkOc4q9oUmW1yo/edit?usp=sharing"",""พิจิตร!J270"")"),0)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IFERROR(__xludf.DUMMYFUNCTION("IMPORTRANGE(""https://docs.google.com/spreadsheets/d/11923uPwbBZFjjGgGUA6NLw09EwE0CqkOc4q9oUmW1yo/edit?usp=sharing"",""พิจิตร!I271"")"),60)</f>
        <v>60</v>
      </c>
      <c r="J376" s="188">
        <f ca="1">IFERROR(__xludf.DUMMYFUNCTION("IMPORTRANGE(""https://docs.google.com/spreadsheets/d/11923uPwbBZFjjGgGUA6NLw09EwE0CqkOc4q9oUmW1yo/edit?usp=sharing"",""พิจิตร!J271"")"),0)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IFERROR(__xludf.DUMMYFUNCTION("IMPORTRANGE(""https://docs.google.com/spreadsheets/d/11923uPwbBZFjjGgGUA6NLw09EwE0CqkOc4q9oUmW1yo/edit?usp=sharing"",""พิจิตร!I272"")"),100)</f>
        <v>100</v>
      </c>
      <c r="J377" s="203">
        <f ca="1">IFERROR(__xludf.DUMMYFUNCTION("IMPORTRANGE(""https://docs.google.com/spreadsheets/d/11923uPwbBZFjjGgGUA6NLw09EwE0CqkOc4q9oUmW1yo/edit?usp=sharing"",""พิจิตร!J272"")"),0)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IFERROR(__xludf.DUMMYFUNCTION("IMPORTRANGE(""https://docs.google.com/spreadsheets/d/11923uPwbBZFjjGgGUA6NLw09EwE0CqkOc4q9oUmW1yo/edit?usp=sharing"",""พิจิตร!J273"")"),0)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IFERROR(__xludf.DUMMYFUNCTION("IMPORTRANGE(""https://docs.google.com/spreadsheets/d/11923uPwbBZFjjGgGUA6NLw09EwE0CqkOc4q9oUmW1yo/edit?usp=sharing"",""พิจิตร!J274"")"),0)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IFERROR(__xludf.DUMMYFUNCTION("IMPORTRANGE(""https://docs.google.com/spreadsheets/d/11923uPwbBZFjjGgGUA6NLw09EwE0CqkOc4q9oUmW1yo/edit?usp=sharing"",""พิจิตร!I275"")"),200)</f>
        <v>200</v>
      </c>
      <c r="J380" s="370">
        <f ca="1">IFERROR(__xludf.DUMMYFUNCTION("IMPORTRANGE(""https://docs.google.com/spreadsheets/d/11923uPwbBZFjjGgGUA6NLw09EwE0CqkOc4q9oUmW1yo/edit?usp=sharing"",""พิจิตร!J275"")"),0)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IFERROR(__xludf.DUMMYFUNCTION("IMPORTRANGE(""https://docs.google.com/spreadsheets/d/11923uPwbBZFjjGgGUA6NLw09EwE0CqkOc4q9oUmW1yo/edit?usp=sharing"",""พิจิตร!L275"")"),207560)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IFERROR(__xludf.DUMMYFUNCTION("IMPORTRANGE(""https://docs.google.com/spreadsheets/d/11923uPwbBZFjjGgGUA6NLw09EwE0CqkOc4q9oUmW1yo/edit?usp=sharing"",""พิจิตร!M275"")"),32611)</f>
        <v>32611</v>
      </c>
      <c r="O380" s="372">
        <f ca="1">+IF(L380&gt;0,N380*100/L380,0)</f>
        <v>15.711601464636731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IFERROR(__xludf.DUMMYFUNCTION("IMPORTRANGE(""https://docs.google.com/spreadsheets/d/11923uPwbBZFjjGgGUA6NLw09EwE0CqkOc4q9oUmW1yo/edit?usp=sharing"",""พิจิตร!I276"")"),20)</f>
        <v>20</v>
      </c>
      <c r="J381" s="370">
        <f ca="1">IFERROR(__xludf.DUMMYFUNCTION("IMPORTRANGE(""https://docs.google.com/spreadsheets/d/11923uPwbBZFjjGgGUA6NLw09EwE0CqkOc4q9oUmW1yo/edit?usp=sharing"",""พิจิตร!J276"")"),20)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IFERROR(__xludf.DUMMYFUNCTION("IMPORTRANGE(""https://docs.google.com/spreadsheets/d/11923uPwbBZFjjGgGUA6NLw09EwE0CqkOc4q9oUmW1yo/edit?usp=sharing"",""พิจิตร!L277"")"),0)</f>
        <v>0</v>
      </c>
      <c r="M382" s="164"/>
      <c r="N382" s="164">
        <f ca="1">IFERROR(__xludf.DUMMYFUNCTION("IMPORTRANGE(""https://docs.google.com/spreadsheets/d/11923uPwbBZFjjGgGUA6NLw09EwE0CqkOc4q9oUmW1yo/edit?usp=sharing"",""พิจิตร!M277"")"),0)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IFERROR(__xludf.DUMMYFUNCTION("IMPORTRANGE(""https://docs.google.com/spreadsheets/d/11923uPwbBZFjjGgGUA6NLw09EwE0CqkOc4q9oUmW1yo/edit?usp=sharing"",""พิจิตร!L278"")"),207560)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IFERROR(__xludf.DUMMYFUNCTION("IMPORTRANGE(""https://docs.google.com/spreadsheets/d/11923uPwbBZFjjGgGUA6NLw09EwE0CqkOc4q9oUmW1yo/edit?usp=sharing"",""พิจิตร!M278"")"),32611)</f>
        <v>32611</v>
      </c>
      <c r="O383" s="165">
        <f t="shared" ca="1" si="109"/>
        <v>15.711601464636731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IFERROR(__xludf.DUMMYFUNCTION("IMPORTRANGE(""https://docs.google.com/spreadsheets/d/11923uPwbBZFjjGgGUA6NLw09EwE0CqkOc4q9oUmW1yo/edit?usp=sharing"",""พิจิตร!L279"")"),0)</f>
        <v>0</v>
      </c>
      <c r="M384" s="168"/>
      <c r="N384" s="168">
        <f ca="1">IFERROR(__xludf.DUMMYFUNCTION("IMPORTRANGE(""https://docs.google.com/spreadsheets/d/11923uPwbBZFjjGgGUA6NLw09EwE0CqkOc4q9oUmW1yo/edit?usp=sharing"",""พิจิตร!M279"")"),0)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IFERROR(__xludf.DUMMYFUNCTION("IMPORTRANGE(""https://docs.google.com/spreadsheets/d/11923uPwbBZFjjGgGUA6NLw09EwE0CqkOc4q9oUmW1yo/edit?usp=sharing"",""พิจิตร!L280"")"),207560)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IFERROR(__xludf.DUMMYFUNCTION("IMPORTRANGE(""https://docs.google.com/spreadsheets/d/11923uPwbBZFjjGgGUA6NLw09EwE0CqkOc4q9oUmW1yo/edit?usp=sharing"",""พิจิตร!M280"")"),32611)</f>
        <v>32611</v>
      </c>
      <c r="O385" s="168">
        <f t="shared" ca="1" si="109"/>
        <v>15.711601464636731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IFERROR(__xludf.DUMMYFUNCTION("IMPORTRANGE(""https://docs.google.com/spreadsheets/d/11923uPwbBZFjjGgGUA6NLw09EwE0CqkOc4q9oUmW1yo/edit?usp=sharing"",""พิจิตร!M281"")"),27616)</f>
        <v>27616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IFERROR(__xludf.DUMMYFUNCTION("IMPORTRANGE(""https://docs.google.com/spreadsheets/d/11923uPwbBZFjjGgGUA6NLw09EwE0CqkOc4q9oUmW1yo/edit?usp=sharing"",""พิจิตร!M282"")"),0)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IFERROR(__xludf.DUMMYFUNCTION("IMPORTRANGE(""https://docs.google.com/spreadsheets/d/11923uPwbBZFjjGgGUA6NLw09EwE0CqkOc4q9oUmW1yo/edit?usp=sharing"",""พิจิตร!M283"")"),0)</f>
        <v>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IFERROR(__xludf.DUMMYFUNCTION("IMPORTRANGE(""https://docs.google.com/spreadsheets/d/11923uPwbBZFjjGgGUA6NLw09EwE0CqkOc4q9oUmW1yo/edit?usp=sharing"",""พิจิตร!M284"")"),4995)</f>
        <v>4995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IFERROR(__xludf.DUMMYFUNCTION("IMPORTRANGE(""https://docs.google.com/spreadsheets/d/11923uPwbBZFjjGgGUA6NLw09EwE0CqkOc4q9oUmW1yo/edit?usp=sharing"",""พิจิตร!J286"")"),0)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IFERROR(__xludf.DUMMYFUNCTION("IMPORTRANGE(""https://docs.google.com/spreadsheets/d/11923uPwbBZFjjGgGUA6NLw09EwE0CqkOc4q9oUmW1yo/edit?usp=sharing"",""พิจิตร!J287"")"),1)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IFERROR(__xludf.DUMMYFUNCTION("IMPORTRANGE(""https://docs.google.com/spreadsheets/d/11923uPwbBZFjjGgGUA6NLw09EwE0CqkOc4q9oUmW1yo/edit?usp=sharing"",""พิจิตร!J288"")"),0)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IFERROR(__xludf.DUMMYFUNCTION("IMPORTRANGE(""https://docs.google.com/spreadsheets/d/11923uPwbBZFjjGgGUA6NLw09EwE0CqkOc4q9oUmW1yo/edit?usp=sharing"",""พิจิตร!J289"")"),1)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IFERROR(__xludf.DUMMYFUNCTION("IMPORTRANGE(""https://docs.google.com/spreadsheets/d/11923uPwbBZFjjGgGUA6NLw09EwE0CqkOc4q9oUmW1yo/edit?usp=sharing"",""พิจิตร!I291"")"),20)</f>
        <v>20</v>
      </c>
      <c r="J396" s="197">
        <f ca="1">IFERROR(__xludf.DUMMYFUNCTION("IMPORTRANGE(""https://docs.google.com/spreadsheets/d/11923uPwbBZFjjGgGUA6NLw09EwE0CqkOc4q9oUmW1yo/edit?usp=sharing"",""พิจิตร!J291"")"),20)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IFERROR(__xludf.DUMMYFUNCTION("IMPORTRANGE(""https://docs.google.com/spreadsheets/d/11923uPwbBZFjjGgGUA6NLw09EwE0CqkOc4q9oUmW1yo/edit?usp=sharing"",""พิจิตร!I292"")"),200)</f>
        <v>200</v>
      </c>
      <c r="J397" s="197">
        <f ca="1">IFERROR(__xludf.DUMMYFUNCTION("IMPORTRANGE(""https://docs.google.com/spreadsheets/d/11923uPwbBZFjjGgGUA6NLw09EwE0CqkOc4q9oUmW1yo/edit?usp=sharing"",""พิจิตร!J292"")"),0)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IFERROR(__xludf.DUMMYFUNCTION("IMPORTRANGE(""https://docs.google.com/spreadsheets/d/11923uPwbBZFjjGgGUA6NLw09EwE0CqkOc4q9oUmW1yo/edit?usp=sharing"",""พิจิตร!I293"")"),20)</f>
        <v>20</v>
      </c>
      <c r="J398" s="197">
        <f ca="1">IFERROR(__xludf.DUMMYFUNCTION("IMPORTRANGE(""https://docs.google.com/spreadsheets/d/11923uPwbBZFjjGgGUA6NLw09EwE0CqkOc4q9oUmW1yo/edit?usp=sharing"",""พิจิตร!J293"")"),0)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IFERROR(__xludf.DUMMYFUNCTION("IMPORTRANGE(""https://docs.google.com/spreadsheets/d/11923uPwbBZFjjGgGUA6NLw09EwE0CqkOc4q9oUmW1yo/edit?usp=sharing"",""พิจิตร!J294"")"),0)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IFERROR(__xludf.DUMMYFUNCTION("IMPORTRANGE(""https://docs.google.com/spreadsheets/d/11923uPwbBZFjjGgGUA6NLw09EwE0CqkOc4q9oUmW1yo/edit?usp=sharing"",""พิจิตร!J295"")"),0)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IFERROR(__xludf.DUMMYFUNCTION("IMPORTRANGE(""https://docs.google.com/spreadsheets/d/11923uPwbBZFjjGgGUA6NLw09EwE0CqkOc4q9oUmW1yo/edit?usp=sharing"",""พิจิตร!I296"")"),174)</f>
        <v>174</v>
      </c>
      <c r="J401" s="370">
        <f ca="1">IFERROR(__xludf.DUMMYFUNCTION("IMPORTRANGE(""https://docs.google.com/spreadsheets/d/11923uPwbBZFjjGgGUA6NLw09EwE0CqkOc4q9oUmW1yo/edit?usp=sharing"",""พิจิตร!J296"")"),174)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IFERROR(__xludf.DUMMYFUNCTION("IMPORTRANGE(""https://docs.google.com/spreadsheets/d/11923uPwbBZFjjGgGUA6NLw09EwE0CqkOc4q9oUmW1yo/edit?usp=sharing"",""พิจิตร!L296"")"),195900)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IFERROR(__xludf.DUMMYFUNCTION("IMPORTRANGE(""https://docs.google.com/spreadsheets/d/11923uPwbBZFjjGgGUA6NLw09EwE0CqkOc4q9oUmW1yo/edit?usp=sharing"",""พิจิตร!M296"")"),113749)</f>
        <v>113749</v>
      </c>
      <c r="O401" s="372">
        <f ca="1">+IF(L401&gt;0,N401*100/L401,0)</f>
        <v>58.064828994384889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IFERROR(__xludf.DUMMYFUNCTION("IMPORTRANGE(""https://docs.google.com/spreadsheets/d/11923uPwbBZFjjGgGUA6NLw09EwE0CqkOc4q9oUmW1yo/edit?usp=sharing"",""พิจิตร!I297"")"),58)</f>
        <v>58</v>
      </c>
      <c r="J402" s="370">
        <f ca="1">IFERROR(__xludf.DUMMYFUNCTION("IMPORTRANGE(""https://docs.google.com/spreadsheets/d/11923uPwbBZFjjGgGUA6NLw09EwE0CqkOc4q9oUmW1yo/edit?usp=sharing"",""พิจิตร!J297"")"),58)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IFERROR(__xludf.DUMMYFUNCTION("IMPORTRANGE(""https://docs.google.com/spreadsheets/d/11923uPwbBZFjjGgGUA6NLw09EwE0CqkOc4q9oUmW1yo/edit?usp=sharing"",""พิจิตร!L298"")"),0)</f>
        <v>0</v>
      </c>
      <c r="M403" s="164"/>
      <c r="N403" s="168">
        <f ca="1">IFERROR(__xludf.DUMMYFUNCTION("IMPORTRANGE(""https://docs.google.com/spreadsheets/d/11923uPwbBZFjjGgGUA6NLw09EwE0CqkOc4q9oUmW1yo/edit?usp=sharing"",""พิจิตร!M298"")"),0)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IFERROR(__xludf.DUMMYFUNCTION("IMPORTRANGE(""https://docs.google.com/spreadsheets/d/11923uPwbBZFjjGgGUA6NLw09EwE0CqkOc4q9oUmW1yo/edit?usp=sharing"",""พิจิตร!L299"")"),195900)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IFERROR(__xludf.DUMMYFUNCTION("IMPORTRANGE(""https://docs.google.com/spreadsheets/d/11923uPwbBZFjjGgGUA6NLw09EwE0CqkOc4q9oUmW1yo/edit?usp=sharing"",""พิจิตร!M299"")"),113749)</f>
        <v>113749</v>
      </c>
      <c r="O404" s="168">
        <f t="shared" ca="1" si="112"/>
        <v>58.064828994384889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IFERROR(__xludf.DUMMYFUNCTION("IMPORTRANGE(""https://docs.google.com/spreadsheets/d/11923uPwbBZFjjGgGUA6NLw09EwE0CqkOc4q9oUmW1yo/edit?usp=sharing"",""พิจิตร!L300"")"),0)</f>
        <v>0</v>
      </c>
      <c r="M405" s="168"/>
      <c r="N405" s="168">
        <f ca="1">IFERROR(__xludf.DUMMYFUNCTION("IMPORTRANGE(""https://docs.google.com/spreadsheets/d/11923uPwbBZFjjGgGUA6NLw09EwE0CqkOc4q9oUmW1yo/edit?usp=sharing"",""พิจิตร!M300"")"),0)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IFERROR(__xludf.DUMMYFUNCTION("IMPORTRANGE(""https://docs.google.com/spreadsheets/d/11923uPwbBZFjjGgGUA6NLw09EwE0CqkOc4q9oUmW1yo/edit?usp=sharing"",""พิจิตร!L301"")"),195900)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IFERROR(__xludf.DUMMYFUNCTION("IMPORTRANGE(""https://docs.google.com/spreadsheets/d/11923uPwbBZFjjGgGUA6NLw09EwE0CqkOc4q9oUmW1yo/edit?usp=sharing"",""พิจิตร!M301"")"),113749)</f>
        <v>113749</v>
      </c>
      <c r="O406" s="168">
        <f t="shared" ca="1" si="112"/>
        <v>58.064828994384889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IFERROR(__xludf.DUMMYFUNCTION("IMPORTRANGE(""https://docs.google.com/spreadsheets/d/11923uPwbBZFjjGgGUA6NLw09EwE0CqkOc4q9oUmW1yo/edit?usp=sharing"",""พิจิตร!M302"")"),98549)</f>
        <v>98549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IFERROR(__xludf.DUMMYFUNCTION("IMPORTRANGE(""https://docs.google.com/spreadsheets/d/11923uPwbBZFjjGgGUA6NLw09EwE0CqkOc4q9oUmW1yo/edit?usp=sharing"",""พิจิตร!M303"")"),0)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IFERROR(__xludf.DUMMYFUNCTION("IMPORTRANGE(""https://docs.google.com/spreadsheets/d/11923uPwbBZFjjGgGUA6NLw09EwE0CqkOc4q9oUmW1yo/edit?usp=sharing"",""พิจิตร!M304"")"),0)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IFERROR(__xludf.DUMMYFUNCTION("IMPORTRANGE(""https://docs.google.com/spreadsheets/d/11923uPwbBZFjjGgGUA6NLw09EwE0CqkOc4q9oUmW1yo/edit?usp=sharing"",""พิจิตร!M305"")"),15200)</f>
        <v>15200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IFERROR(__xludf.DUMMYFUNCTION("IMPORTRANGE(""https://docs.google.com/spreadsheets/d/11923uPwbBZFjjGgGUA6NLw09EwE0CqkOc4q9oUmW1yo/edit?usp=sharing"",""พิจิตร!J307"")"),0)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IFERROR(__xludf.DUMMYFUNCTION("IMPORTRANGE(""https://docs.google.com/spreadsheets/d/11923uPwbBZFjjGgGUA6NLw09EwE0CqkOc4q9oUmW1yo/edit?usp=sharing"",""พิจิตร!J308"")"),1)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IFERROR(__xludf.DUMMYFUNCTION("IMPORTRANGE(""https://docs.google.com/spreadsheets/d/11923uPwbBZFjjGgGUA6NLw09EwE0CqkOc4q9oUmW1yo/edit?usp=sharing"",""พิจิตร!J309"")"),0)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IFERROR(__xludf.DUMMYFUNCTION("IMPORTRANGE(""https://docs.google.com/spreadsheets/d/11923uPwbBZFjjGgGUA6NLw09EwE0CqkOc4q9oUmW1yo/edit?usp=sharing"",""พิจิตร!J310"")"),1)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IFERROR(__xludf.DUMMYFUNCTION("IMPORTRANGE(""https://docs.google.com/spreadsheets/d/11923uPwbBZFjjGgGUA6NLw09EwE0CqkOc4q9oUmW1yo/edit?usp=sharing"",""พิจิตร!I311"")"),58)</f>
        <v>58</v>
      </c>
      <c r="J416" s="200">
        <f ca="1">IFERROR(__xludf.DUMMYFUNCTION("IMPORTRANGE(""https://docs.google.com/spreadsheets/d/11923uPwbBZFjjGgGUA6NLw09EwE0CqkOc4q9oUmW1yo/edit?usp=sharing"",""พิจิตร!J311"")"),58)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IFERROR(__xludf.DUMMYFUNCTION("IMPORTRANGE(""https://docs.google.com/spreadsheets/d/11923uPwbBZFjjGgGUA6NLw09EwE0CqkOc4q9oUmW1yo/edit?usp=sharing"",""พิจิตร!I312"")"),10)</f>
        <v>10</v>
      </c>
      <c r="J417" s="391">
        <f ca="1">IFERROR(__xludf.DUMMYFUNCTION("IMPORTRANGE(""https://docs.google.com/spreadsheets/d/11923uPwbBZFjjGgGUA6NLw09EwE0CqkOc4q9oUmW1yo/edit?usp=sharing"",""พิจิตร!J312"")"),10)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IFERROR(__xludf.DUMMYFUNCTION("IMPORTRANGE(""https://docs.google.com/spreadsheets/d/11923uPwbBZFjjGgGUA6NLw09EwE0CqkOc4q9oUmW1yo/edit?usp=sharing"",""พิจิตร!I313"")"),30)</f>
        <v>30</v>
      </c>
      <c r="J418" s="392">
        <f ca="1">IFERROR(__xludf.DUMMYFUNCTION("IMPORTRANGE(""https://docs.google.com/spreadsheets/d/11923uPwbBZFjjGgGUA6NLw09EwE0CqkOc4q9oUmW1yo/edit?usp=sharing"",""พิจิตร!J313"")"),30)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IFERROR(__xludf.DUMMYFUNCTION("IMPORTRANGE(""https://docs.google.com/spreadsheets/d/11923uPwbBZFjjGgGUA6NLw09EwE0CqkOc4q9oUmW1yo/edit?usp=sharing"",""พิจิตร!I314"")"),10)</f>
        <v>10</v>
      </c>
      <c r="J419" s="393">
        <f ca="1">IFERROR(__xludf.DUMMYFUNCTION("IMPORTRANGE(""https://docs.google.com/spreadsheets/d/11923uPwbBZFjjGgGUA6NLw09EwE0CqkOc4q9oUmW1yo/edit?usp=sharing"",""พิจิตร!J314"")"),10)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IFERROR(__xludf.DUMMYFUNCTION("IMPORTRANGE(""https://docs.google.com/spreadsheets/d/11923uPwbBZFjjGgGUA6NLw09EwE0CqkOc4q9oUmW1yo/edit?usp=sharing"",""พิจิตร!I315"")"),10)</f>
        <v>10</v>
      </c>
      <c r="J420" s="393">
        <f ca="1">IFERROR(__xludf.DUMMYFUNCTION("IMPORTRANGE(""https://docs.google.com/spreadsheets/d/11923uPwbBZFjjGgGUA6NLw09EwE0CqkOc4q9oUmW1yo/edit?usp=sharing"",""พิจิตร!J315"")"),10)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IFERROR(__xludf.DUMMYFUNCTION("IMPORTRANGE(""https://docs.google.com/spreadsheets/d/11923uPwbBZFjjGgGUA6NLw09EwE0CqkOc4q9oUmW1yo/edit?usp=sharing"",""พิจิตร!I316"")"),38)</f>
        <v>38</v>
      </c>
      <c r="J421" s="391">
        <f ca="1">IFERROR(__xludf.DUMMYFUNCTION("IMPORTRANGE(""https://docs.google.com/spreadsheets/d/11923uPwbBZFjjGgGUA6NLw09EwE0CqkOc4q9oUmW1yo/edit?usp=sharing"",""พิจิตร!J316"")"),38)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IFERROR(__xludf.DUMMYFUNCTION("IMPORTRANGE(""https://docs.google.com/spreadsheets/d/11923uPwbBZFjjGgGUA6NLw09EwE0CqkOc4q9oUmW1yo/edit?usp=sharing"",""พิจิตร!I317"")"),114)</f>
        <v>114</v>
      </c>
      <c r="J422" s="392">
        <f ca="1">IFERROR(__xludf.DUMMYFUNCTION("IMPORTRANGE(""https://docs.google.com/spreadsheets/d/11923uPwbBZFjjGgGUA6NLw09EwE0CqkOc4q9oUmW1yo/edit?usp=sharing"",""พิจิตร!J317"")"),114)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IFERROR(__xludf.DUMMYFUNCTION("IMPORTRANGE(""https://docs.google.com/spreadsheets/d/11923uPwbBZFjjGgGUA6NLw09EwE0CqkOc4q9oUmW1yo/edit?usp=sharing"",""พิจิตร!I318"")"),38)</f>
        <v>38</v>
      </c>
      <c r="J423" s="393">
        <f ca="1">IFERROR(__xludf.DUMMYFUNCTION("IMPORTRANGE(""https://docs.google.com/spreadsheets/d/11923uPwbBZFjjGgGUA6NLw09EwE0CqkOc4q9oUmW1yo/edit?usp=sharing"",""พิจิตร!J318"")"),38)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IFERROR(__xludf.DUMMYFUNCTION("IMPORTRANGE(""https://docs.google.com/spreadsheets/d/11923uPwbBZFjjGgGUA6NLw09EwE0CqkOc4q9oUmW1yo/edit?usp=sharing"",""พิจิตร!I319"")"),38)</f>
        <v>38</v>
      </c>
      <c r="J424" s="393">
        <f ca="1">IFERROR(__xludf.DUMMYFUNCTION("IMPORTRANGE(""https://docs.google.com/spreadsheets/d/11923uPwbBZFjjGgGUA6NLw09EwE0CqkOc4q9oUmW1yo/edit?usp=sharing"",""พิจิตร!J319"")"),38)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IFERROR(__xludf.DUMMYFUNCTION("IMPORTRANGE(""https://docs.google.com/spreadsheets/d/11923uPwbBZFjjGgGUA6NLw09EwE0CqkOc4q9oUmW1yo/edit?usp=sharing"",""พิจิตร!I320"")"),38)</f>
        <v>38</v>
      </c>
      <c r="J425" s="393">
        <f ca="1">IFERROR(__xludf.DUMMYFUNCTION("IMPORTRANGE(""https://docs.google.com/spreadsheets/d/11923uPwbBZFjjGgGUA6NLw09EwE0CqkOc4q9oUmW1yo/edit?usp=sharing"",""พิจิตร!J320"")"),38)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IFERROR(__xludf.DUMMYFUNCTION("IMPORTRANGE(""https://docs.google.com/spreadsheets/d/11923uPwbBZFjjGgGUA6NLw09EwE0CqkOc4q9oUmW1yo/edit?usp=sharing"",""พิจิตร!I321"")"),10)</f>
        <v>10</v>
      </c>
      <c r="J426" s="391">
        <f ca="1">IFERROR(__xludf.DUMMYFUNCTION("IMPORTRANGE(""https://docs.google.com/spreadsheets/d/11923uPwbBZFjjGgGUA6NLw09EwE0CqkOc4q9oUmW1yo/edit?usp=sharing"",""พิจิตร!J321"")"),10)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IFERROR(__xludf.DUMMYFUNCTION("IMPORTRANGE(""https://docs.google.com/spreadsheets/d/11923uPwbBZFjjGgGUA6NLw09EwE0CqkOc4q9oUmW1yo/edit?usp=sharing"",""พิจิตร!I322"")"),30)</f>
        <v>30</v>
      </c>
      <c r="J427" s="392">
        <f ca="1">IFERROR(__xludf.DUMMYFUNCTION("IMPORTRANGE(""https://docs.google.com/spreadsheets/d/11923uPwbBZFjjGgGUA6NLw09EwE0CqkOc4q9oUmW1yo/edit?usp=sharing"",""พิจิตร!J322"")"),30)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IFERROR(__xludf.DUMMYFUNCTION("IMPORTRANGE(""https://docs.google.com/spreadsheets/d/11923uPwbBZFjjGgGUA6NLw09EwE0CqkOc4q9oUmW1yo/edit?usp=sharing"",""พิจิตร!I323"")"),10)</f>
        <v>10</v>
      </c>
      <c r="J428" s="393">
        <f ca="1">IFERROR(__xludf.DUMMYFUNCTION("IMPORTRANGE(""https://docs.google.com/spreadsheets/d/11923uPwbBZFjjGgGUA6NLw09EwE0CqkOc4q9oUmW1yo/edit?usp=sharing"",""พิจิตร!J323"")"),10)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IFERROR(__xludf.DUMMYFUNCTION("IMPORTRANGE(""https://docs.google.com/spreadsheets/d/11923uPwbBZFjjGgGUA6NLw09EwE0CqkOc4q9oUmW1yo/edit?usp=sharing"",""พิจิตร!I324"")"),10)</f>
        <v>10</v>
      </c>
      <c r="J429" s="393">
        <f ca="1">IFERROR(__xludf.DUMMYFUNCTION("IMPORTRANGE(""https://docs.google.com/spreadsheets/d/11923uPwbBZFjjGgGUA6NLw09EwE0CqkOc4q9oUmW1yo/edit?usp=sharing"",""พิจิตร!J324"")"),10)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IFERROR(__xludf.DUMMYFUNCTION("IMPORTRANGE(""https://docs.google.com/spreadsheets/d/11923uPwbBZFjjGgGUA6NLw09EwE0CqkOc4q9oUmW1yo/edit?usp=sharing"",""พิจิตร!I325"")"),48)</f>
        <v>48</v>
      </c>
      <c r="J430" s="391">
        <f ca="1">IFERROR(__xludf.DUMMYFUNCTION("IMPORTRANGE(""https://docs.google.com/spreadsheets/d/11923uPwbBZFjjGgGUA6NLw09EwE0CqkOc4q9oUmW1yo/edit?usp=sharing"",""พิจิตร!J325"")"),0)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IFERROR(__xludf.DUMMYFUNCTION("IMPORTRANGE(""https://docs.google.com/spreadsheets/d/11923uPwbBZFjjGgGUA6NLw09EwE0CqkOc4q9oUmW1yo/edit?usp=sharing"",""พิจิตร!I326"")"),10)</f>
        <v>10</v>
      </c>
      <c r="J431" s="393">
        <f ca="1">IFERROR(__xludf.DUMMYFUNCTION("IMPORTRANGE(""https://docs.google.com/spreadsheets/d/11923uPwbBZFjjGgGUA6NLw09EwE0CqkOc4q9oUmW1yo/edit?usp=sharing"",""พิจิตร!J326"")"),0)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IFERROR(__xludf.DUMMYFUNCTION("IMPORTRANGE(""https://docs.google.com/spreadsheets/d/11923uPwbBZFjjGgGUA6NLw09EwE0CqkOc4q9oUmW1yo/edit?usp=sharing"",""พิจิตร!I327"")"),38)</f>
        <v>38</v>
      </c>
      <c r="J432" s="393">
        <f ca="1">IFERROR(__xludf.DUMMYFUNCTION("IMPORTRANGE(""https://docs.google.com/spreadsheets/d/11923uPwbBZFjjGgGUA6NLw09EwE0CqkOc4q9oUmW1yo/edit?usp=sharing"",""พิจิตร!J327"")"),0)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IFERROR(__xludf.DUMMYFUNCTION("IMPORTRANGE(""https://docs.google.com/spreadsheets/d/11923uPwbBZFjjGgGUA6NLw09EwE0CqkOc4q9oUmW1yo/edit?usp=sharing"",""พิจิตร!J328"")"),0)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IFERROR(__xludf.DUMMYFUNCTION("IMPORTRANGE(""https://docs.google.com/spreadsheets/d/11923uPwbBZFjjGgGUA6NLw09EwE0CqkOc4q9oUmW1yo/edit?usp=sharing"",""พิจิตร!J329"")"),0)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IFERROR(__xludf.DUMMYFUNCTION("IMPORTRANGE(""https://docs.google.com/spreadsheets/d/11923uPwbBZFjjGgGUA6NLw09EwE0CqkOc4q9oUmW1yo/edit?usp=sharing"",""พิจิตร!I330"")"),15)</f>
        <v>15</v>
      </c>
      <c r="J435" s="409">
        <f ca="1">IFERROR(__xludf.DUMMYFUNCTION("IMPORTRANGE(""https://docs.google.com/spreadsheets/d/11923uPwbBZFjjGgGUA6NLw09EwE0CqkOc4q9oUmW1yo/edit?usp=sharing"",""พิจิตร!J330"")"),15)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IFERROR(__xludf.DUMMYFUNCTION("IMPORTRANGE(""https://docs.google.com/spreadsheets/d/11923uPwbBZFjjGgGUA6NLw09EwE0CqkOc4q9oUmW1yo/edit?usp=sharing"",""พิจิตร!L330"")"),106000)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IFERROR(__xludf.DUMMYFUNCTION("IMPORTRANGE(""https://docs.google.com/spreadsheets/d/11923uPwbBZFjjGgGUA6NLw09EwE0CqkOc4q9oUmW1yo/edit?usp=sharing"",""พิจิตร!M330"")"),71866)</f>
        <v>71866</v>
      </c>
      <c r="O435" s="411">
        <f t="shared" ref="O435:O439" ca="1" si="114">+IF(L435&gt;0,N435*100/L435,0)</f>
        <v>67.798113207547175</v>
      </c>
      <c r="P435" s="411"/>
    </row>
    <row r="436" spans="1:16" ht="21.75" customHeight="1" x14ac:dyDescent="0.3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IFERROR(__xludf.DUMMYFUNCTION("IMPORTRANGE(""https://docs.google.com/spreadsheets/d/11923uPwbBZFjjGgGUA6NLw09EwE0CqkOc4q9oUmW1yo/edit?usp=sharing"",""พิจิตร!L331"")"),0)</f>
        <v>0</v>
      </c>
      <c r="M436" s="164"/>
      <c r="N436" s="168">
        <f ca="1">IFERROR(__xludf.DUMMYFUNCTION("IMPORTRANGE(""https://docs.google.com/spreadsheets/d/11923uPwbBZFjjGgGUA6NLw09EwE0CqkOc4q9oUmW1yo/edit?usp=sharing"",""พิจิตร!M331"")"),0)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IFERROR(__xludf.DUMMYFUNCTION("IMPORTRANGE(""https://docs.google.com/spreadsheets/d/11923uPwbBZFjjGgGUA6NLw09EwE0CqkOc4q9oUmW1yo/edit?usp=sharing"",""พิจิตร!L332"")"),106000)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IFERROR(__xludf.DUMMYFUNCTION("IMPORTRANGE(""https://docs.google.com/spreadsheets/d/11923uPwbBZFjjGgGUA6NLw09EwE0CqkOc4q9oUmW1yo/edit?usp=sharing"",""พิจิตร!M332"")"),71866)</f>
        <v>71866</v>
      </c>
      <c r="O437" s="168">
        <f t="shared" ca="1" si="114"/>
        <v>67.798113207547175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IFERROR(__xludf.DUMMYFUNCTION("IMPORTRANGE(""https://docs.google.com/spreadsheets/d/11923uPwbBZFjjGgGUA6NLw09EwE0CqkOc4q9oUmW1yo/edit?usp=sharing"",""พิจิตร!L333"")"),0)</f>
        <v>0</v>
      </c>
      <c r="M438" s="168"/>
      <c r="N438" s="168">
        <f ca="1">IFERROR(__xludf.DUMMYFUNCTION("IMPORTRANGE(""https://docs.google.com/spreadsheets/d/11923uPwbBZFjjGgGUA6NLw09EwE0CqkOc4q9oUmW1yo/edit?usp=sharing"",""พิจิตร!M333"")"),0)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IFERROR(__xludf.DUMMYFUNCTION("IMPORTRANGE(""https://docs.google.com/spreadsheets/d/11923uPwbBZFjjGgGUA6NLw09EwE0CqkOc4q9oUmW1yo/edit?usp=sharing"",""พิจิตร!L334"")"),106000)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IFERROR(__xludf.DUMMYFUNCTION("IMPORTRANGE(""https://docs.google.com/spreadsheets/d/11923uPwbBZFjjGgGUA6NLw09EwE0CqkOc4q9oUmW1yo/edit?usp=sharing"",""พิจิตร!M334"")"),71866)</f>
        <v>71866</v>
      </c>
      <c r="O439" s="168">
        <f t="shared" ca="1" si="114"/>
        <v>67.798113207547175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IFERROR(__xludf.DUMMYFUNCTION("IMPORTRANGE(""https://docs.google.com/spreadsheets/d/11923uPwbBZFjjGgGUA6NLw09EwE0CqkOc4q9oUmW1yo/edit?usp=sharing"",""พิจิตร!M335"")"),32191)</f>
        <v>32191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IFERROR(__xludf.DUMMYFUNCTION("IMPORTRANGE(""https://docs.google.com/spreadsheets/d/11923uPwbBZFjjGgGUA6NLw09EwE0CqkOc4q9oUmW1yo/edit?usp=sharing"",""พิจิตร!M336"")"),0)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IFERROR(__xludf.DUMMYFUNCTION("IMPORTRANGE(""https://docs.google.com/spreadsheets/d/11923uPwbBZFjjGgGUA6NLw09EwE0CqkOc4q9oUmW1yo/edit?usp=sharing"",""พิจิตร!M337"")"),0)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IFERROR(__xludf.DUMMYFUNCTION("IMPORTRANGE(""https://docs.google.com/spreadsheets/d/11923uPwbBZFjjGgGUA6NLw09EwE0CqkOc4q9oUmW1yo/edit?usp=sharing"",""พิจิตร!M338"")"),39675)</f>
        <v>39675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IFERROR(__xludf.DUMMYFUNCTION("IMPORTRANGE(""https://docs.google.com/spreadsheets/d/11923uPwbBZFjjGgGUA6NLw09EwE0CqkOc4q9oUmW1yo/edit?usp=sharing"",""พิจิตร!J340"")"),0)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IFERROR(__xludf.DUMMYFUNCTION("IMPORTRANGE(""https://docs.google.com/spreadsheets/d/11923uPwbBZFjjGgGUA6NLw09EwE0CqkOc4q9oUmW1yo/edit?usp=sharing"",""พิจิตร!J341"")"),1)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IFERROR(__xludf.DUMMYFUNCTION("IMPORTRANGE(""https://docs.google.com/spreadsheets/d/11923uPwbBZFjjGgGUA6NLw09EwE0CqkOc4q9oUmW1yo/edit?usp=sharing"",""พิจิตร!J342"")"),0)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IFERROR(__xludf.DUMMYFUNCTION("IMPORTRANGE(""https://docs.google.com/spreadsheets/d/11923uPwbBZFjjGgGUA6NLw09EwE0CqkOc4q9oUmW1yo/edit?usp=sharing"",""พิจิตร!J343"")"),1)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IFERROR(__xludf.DUMMYFUNCTION("IMPORTRANGE(""https://docs.google.com/spreadsheets/d/11923uPwbBZFjjGgGUA6NLw09EwE0CqkOc4q9oUmW1yo/edit?usp=sharing"",""พิจิตร!I344"")"),15)</f>
        <v>15</v>
      </c>
      <c r="J449" s="200">
        <f ca="1">IFERROR(__xludf.DUMMYFUNCTION("IMPORTRANGE(""https://docs.google.com/spreadsheets/d/11923uPwbBZFjjGgGUA6NLw09EwE0CqkOc4q9oUmW1yo/edit?usp=sharing"",""พิจิตร!J344"")"),15)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IFERROR(__xludf.DUMMYFUNCTION("IMPORTRANGE(""https://docs.google.com/spreadsheets/d/11923uPwbBZFjjGgGUA6NLw09EwE0CqkOc4q9oUmW1yo/edit?usp=sharing"",""พิจิตร!I345"")"),15)</f>
        <v>15</v>
      </c>
      <c r="J450" s="188">
        <f ca="1">IFERROR(__xludf.DUMMYFUNCTION("IMPORTRANGE(""https://docs.google.com/spreadsheets/d/11923uPwbBZFjjGgGUA6NLw09EwE0CqkOc4q9oUmW1yo/edit?usp=sharing"",""พิจิตร!J345"")"),15)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IFERROR(__xludf.DUMMYFUNCTION("IMPORTRANGE(""https://docs.google.com/spreadsheets/d/11923uPwbBZFjjGgGUA6NLw09EwE0CqkOc4q9oUmW1yo/edit?usp=sharing"",""พิจิตร!I346"")"),0)</f>
        <v>0</v>
      </c>
      <c r="J451" s="187">
        <f ca="1">IFERROR(__xludf.DUMMYFUNCTION("IMPORTRANGE(""https://docs.google.com/spreadsheets/d/11923uPwbBZFjjGgGUA6NLw09EwE0CqkOc4q9oUmW1yo/edit?usp=sharing"",""พิจิตร!J346"")"),0)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IFERROR(__xludf.DUMMYFUNCTION("IMPORTRANGE(""https://docs.google.com/spreadsheets/d/11923uPwbBZFjjGgGUA6NLw09EwE0CqkOc4q9oUmW1yo/edit?usp=sharing"",""พิจิตร!I347"")"),0)</f>
        <v>0</v>
      </c>
      <c r="J452" s="187">
        <f ca="1">IFERROR(__xludf.DUMMYFUNCTION("IMPORTRANGE(""https://docs.google.com/spreadsheets/d/11923uPwbBZFjjGgGUA6NLw09EwE0CqkOc4q9oUmW1yo/edit?usp=sharing"",""พิจิตร!J347"")"),0)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IFERROR(__xludf.DUMMYFUNCTION("IMPORTRANGE(""https://docs.google.com/spreadsheets/d/11923uPwbBZFjjGgGUA6NLw09EwE0CqkOc4q9oUmW1yo/edit?usp=sharing"",""พิจิตร!J348"")"),0)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IFERROR(__xludf.DUMMYFUNCTION("IMPORTRANGE(""https://docs.google.com/spreadsheets/d/11923uPwbBZFjjGgGUA6NLw09EwE0CqkOc4q9oUmW1yo/edit?usp=sharing"",""พิจิตร!J349"")"),0)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IFERROR(__xludf.DUMMYFUNCTION("IMPORTRANGE(""https://docs.google.com/spreadsheets/d/11923uPwbBZFjjGgGUA6NLw09EwE0CqkOc4q9oUmW1yo/edit?usp=sharing"",""พิจิตร!I350"")"),77223)</f>
        <v>77223</v>
      </c>
      <c r="J455" s="370">
        <f ca="1">IFERROR(__xludf.DUMMYFUNCTION("IMPORTRANGE(""https://docs.google.com/spreadsheets/d/11923uPwbBZFjjGgGUA6NLw09EwE0CqkOc4q9oUmW1yo/edit?usp=sharing"",""พิจิตร!J350"")"),77224)</f>
        <v>77224</v>
      </c>
      <c r="K455" s="371">
        <f ca="1">IF(I455&gt;0,J455*100/I455,0)</f>
        <v>100.00129495098611</v>
      </c>
      <c r="L455" s="372">
        <f ca="1">IFERROR(__xludf.DUMMYFUNCTION("IMPORTRANGE(""https://docs.google.com/spreadsheets/d/11923uPwbBZFjjGgGUA6NLw09EwE0CqkOc4q9oUmW1yo/edit?usp=sharing"",""พิจิตร!L350"")"),585237)</f>
        <v>585237</v>
      </c>
      <c r="M455" s="372"/>
      <c r="N455" s="372">
        <f ca="1">IFERROR(__xludf.DUMMYFUNCTION("IMPORTRANGE(""https://docs.google.com/spreadsheets/d/11923uPwbBZFjjGgGUA6NLw09EwE0CqkOc4q9oUmW1yo/edit?usp=sharing"",""พิจิตร!M350"")"),142146.78)</f>
        <v>142146.78</v>
      </c>
      <c r="O455" s="372">
        <f t="shared" ref="O455:O459" ca="1" si="116">+IF(L455&gt;0,N455*100/L455,0)</f>
        <v>24.288754812153027</v>
      </c>
      <c r="P455" s="372"/>
    </row>
    <row r="456" spans="1:16" ht="21.75" customHeight="1" x14ac:dyDescent="0.3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IFERROR(__xludf.DUMMYFUNCTION("IMPORTRANGE(""https://docs.google.com/spreadsheets/d/11923uPwbBZFjjGgGUA6NLw09EwE0CqkOc4q9oUmW1yo/edit?usp=sharing"",""พิจิตร!L351"")"),0)</f>
        <v>0</v>
      </c>
      <c r="M456" s="164"/>
      <c r="N456" s="168">
        <f ca="1">IFERROR(__xludf.DUMMYFUNCTION("IMPORTRANGE(""https://docs.google.com/spreadsheets/d/11923uPwbBZFjjGgGUA6NLw09EwE0CqkOc4q9oUmW1yo/edit?usp=sharing"",""พิจิตร!M351"")"),0)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IFERROR(__xludf.DUMMYFUNCTION("IMPORTRANGE(""https://docs.google.com/spreadsheets/d/11923uPwbBZFjjGgGUA6NLw09EwE0CqkOc4q9oUmW1yo/edit?usp=sharing"",""พิจิตร!L352"")"),585237)</f>
        <v>585237</v>
      </c>
      <c r="M457" s="165"/>
      <c r="N457" s="168">
        <f ca="1">IFERROR(__xludf.DUMMYFUNCTION("IMPORTRANGE(""https://docs.google.com/spreadsheets/d/11923uPwbBZFjjGgGUA6NLw09EwE0CqkOc4q9oUmW1yo/edit?usp=sharing"",""พิจิตร!M352"")"),142146.78)</f>
        <v>142146.78</v>
      </c>
      <c r="O457" s="168">
        <f t="shared" ca="1" si="116"/>
        <v>24.288754812153027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IFERROR(__xludf.DUMMYFUNCTION("IMPORTRANGE(""https://docs.google.com/spreadsheets/d/11923uPwbBZFjjGgGUA6NLw09EwE0CqkOc4q9oUmW1yo/edit?usp=sharing"",""พิจิตร!L353"")"),0)</f>
        <v>0</v>
      </c>
      <c r="M458" s="168"/>
      <c r="N458" s="168">
        <f ca="1">IFERROR(__xludf.DUMMYFUNCTION("IMPORTRANGE(""https://docs.google.com/spreadsheets/d/11923uPwbBZFjjGgGUA6NLw09EwE0CqkOc4q9oUmW1yo/edit?usp=sharing"",""พิจิตร!M353"")"),0)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IFERROR(__xludf.DUMMYFUNCTION("IMPORTRANGE(""https://docs.google.com/spreadsheets/d/11923uPwbBZFjjGgGUA6NLw09EwE0CqkOc4q9oUmW1yo/edit?usp=sharing"",""พิจิตร!L354"")"),585237)</f>
        <v>585237</v>
      </c>
      <c r="M459" s="168"/>
      <c r="N459" s="168">
        <f ca="1">IFERROR(__xludf.DUMMYFUNCTION("IMPORTRANGE(""https://docs.google.com/spreadsheets/d/11923uPwbBZFjjGgGUA6NLw09EwE0CqkOc4q9oUmW1yo/edit?usp=sharing"",""พิจิตร!M354"")"),142146.78)</f>
        <v>142146.78</v>
      </c>
      <c r="O459" s="168">
        <f t="shared" ca="1" si="116"/>
        <v>24.288754812153027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IFERROR(__xludf.DUMMYFUNCTION("IMPORTRANGE(""https://docs.google.com/spreadsheets/d/11923uPwbBZFjjGgGUA6NLw09EwE0CqkOc4q9oUmW1yo/edit?usp=sharing"",""พิจิตร!M355"")"),0)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IFERROR(__xludf.DUMMYFUNCTION("IMPORTRANGE(""https://docs.google.com/spreadsheets/d/11923uPwbBZFjjGgGUA6NLw09EwE0CqkOc4q9oUmW1yo/edit?usp=sharing"",""พิจิตร!M356"")"),0)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IFERROR(__xludf.DUMMYFUNCTION("IMPORTRANGE(""https://docs.google.com/spreadsheets/d/11923uPwbBZFjjGgGUA6NLw09EwE0CqkOc4q9oUmW1yo/edit?usp=sharing"",""พิจิตร!M357"")"),70346.78)</f>
        <v>70346.78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IFERROR(__xludf.DUMMYFUNCTION("IMPORTRANGE(""https://docs.google.com/spreadsheets/d/11923uPwbBZFjjGgGUA6NLw09EwE0CqkOc4q9oUmW1yo/edit?usp=sharing"",""พิจิตร!M358"")"),71800)</f>
        <v>71800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IFERROR(__xludf.DUMMYFUNCTION("IMPORTRANGE(""https://docs.google.com/spreadsheets/d/11923uPwbBZFjjGgGUA6NLw09EwE0CqkOc4q9oUmW1yo/edit?usp=sharing"",""พิจิตร!I359"")"),77223)</f>
        <v>77223</v>
      </c>
      <c r="J464" s="267">
        <f ca="1">IFERROR(__xludf.DUMMYFUNCTION("IMPORTRANGE(""https://docs.google.com/spreadsheets/d/11923uPwbBZFjjGgGUA6NLw09EwE0CqkOc4q9oUmW1yo/edit?usp=sharing"",""พิจิตร!J359"")"),77224)</f>
        <v>77224</v>
      </c>
      <c r="K464" s="268">
        <f t="shared" ref="K464:K515" ca="1" si="117">IF(I464&gt;0,J464*100/I464,0)</f>
        <v>100.00129495098611</v>
      </c>
      <c r="L464" s="292"/>
      <c r="M464" s="292"/>
      <c r="N464" s="292"/>
      <c r="O464" s="292"/>
      <c r="P464" s="292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IFERROR(__xludf.DUMMYFUNCTION("IMPORTRANGE(""https://docs.google.com/spreadsheets/d/11923uPwbBZFjjGgGUA6NLw09EwE0CqkOc4q9oUmW1yo/edit?usp=sharing"",""พิจิตร!I360"")"),77223)</f>
        <v>77223</v>
      </c>
      <c r="J465" s="420">
        <f ca="1">IFERROR(__xludf.DUMMYFUNCTION("IMPORTRANGE(""https://docs.google.com/spreadsheets/d/11923uPwbBZFjjGgGUA6NLw09EwE0CqkOc4q9oUmW1yo/edit?usp=sharing"",""พิจิตร!J360"")"),77224)</f>
        <v>77224</v>
      </c>
      <c r="K465" s="201">
        <f t="shared" ca="1" si="117"/>
        <v>100.00129495098611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IFERROR(__xludf.DUMMYFUNCTION("IMPORTRANGE(""https://docs.google.com/spreadsheets/d/11923uPwbBZFjjGgGUA6NLw09EwE0CqkOc4q9oUmW1yo/edit?usp=sharing"",""พิจิตร!I361"")"),7854)</f>
        <v>7854</v>
      </c>
      <c r="J466" s="420">
        <f ca="1">IFERROR(__xludf.DUMMYFUNCTION("IMPORTRANGE(""https://docs.google.com/spreadsheets/d/11923uPwbBZFjjGgGUA6NLw09EwE0CqkOc4q9oUmW1yo/edit?usp=sharing"",""พิจิตร!J361"")"),7854)</f>
        <v>7854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IFERROR(__xludf.DUMMYFUNCTION("IMPORTRANGE(""https://docs.google.com/spreadsheets/d/11923uPwbBZFjjGgGUA6NLw09EwE0CqkOc4q9oUmW1yo/edit?usp=sharing"",""พิจิตร!I362"")"),0)</f>
        <v>0</v>
      </c>
      <c r="J467" s="188">
        <f ca="1">IFERROR(__xludf.DUMMYFUNCTION("IMPORTRANGE(""https://docs.google.com/spreadsheets/d/11923uPwbBZFjjGgGUA6NLw09EwE0CqkOc4q9oUmW1yo/edit?usp=sharing"",""พิจิตร!J362"")"),59899)</f>
        <v>59899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IFERROR(__xludf.DUMMYFUNCTION("IMPORTRANGE(""https://docs.google.com/spreadsheets/d/11923uPwbBZFjjGgGUA6NLw09EwE0CqkOc4q9oUmW1yo/edit?usp=sharing"",""พิจิตร!I363"")"),0)</f>
        <v>0</v>
      </c>
      <c r="J468" s="188">
        <f ca="1">IFERROR(__xludf.DUMMYFUNCTION("IMPORTRANGE(""https://docs.google.com/spreadsheets/d/11923uPwbBZFjjGgGUA6NLw09EwE0CqkOc4q9oUmW1yo/edit?usp=sharing"",""พิจิตร!J363"")"),6624)</f>
        <v>6624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IFERROR(__xludf.DUMMYFUNCTION("IMPORTRANGE(""https://docs.google.com/spreadsheets/d/11923uPwbBZFjjGgGUA6NLw09EwE0CqkOc4q9oUmW1yo/edit?usp=sharing"",""พิจิตร!I364"")"),0)</f>
        <v>0</v>
      </c>
      <c r="J469" s="188">
        <f ca="1">IFERROR(__xludf.DUMMYFUNCTION("IMPORTRANGE(""https://docs.google.com/spreadsheets/d/11923uPwbBZFjjGgGUA6NLw09EwE0CqkOc4q9oUmW1yo/edit?usp=sharing"",""พิจิตร!J364"")"),14730)</f>
        <v>14730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IFERROR(__xludf.DUMMYFUNCTION("IMPORTRANGE(""https://docs.google.com/spreadsheets/d/11923uPwbBZFjjGgGUA6NLw09EwE0CqkOc4q9oUmW1yo/edit?usp=sharing"",""พิจิตร!I365"")"),0)</f>
        <v>0</v>
      </c>
      <c r="J470" s="188">
        <f ca="1">IFERROR(__xludf.DUMMYFUNCTION("IMPORTRANGE(""https://docs.google.com/spreadsheets/d/11923uPwbBZFjjGgGUA6NLw09EwE0CqkOc4q9oUmW1yo/edit?usp=sharing"",""พิจิตร!J365"")"),1018)</f>
        <v>1018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IFERROR(__xludf.DUMMYFUNCTION("IMPORTRANGE(""https://docs.google.com/spreadsheets/d/11923uPwbBZFjjGgGUA6NLw09EwE0CqkOc4q9oUmW1yo/edit?usp=sharing"",""พิจิตร!I366"")"),0)</f>
        <v>0</v>
      </c>
      <c r="J471" s="188">
        <f ca="1">IFERROR(__xludf.DUMMYFUNCTION("IMPORTRANGE(""https://docs.google.com/spreadsheets/d/11923uPwbBZFjjGgGUA6NLw09EwE0CqkOc4q9oUmW1yo/edit?usp=sharing"",""พิจิตร!J366"")"),2595)</f>
        <v>2595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IFERROR(__xludf.DUMMYFUNCTION("IMPORTRANGE(""https://docs.google.com/spreadsheets/d/11923uPwbBZFjjGgGUA6NLw09EwE0CqkOc4q9oUmW1yo/edit?usp=sharing"",""พิจิตร!I367"")"),0)</f>
        <v>0</v>
      </c>
      <c r="J472" s="188">
        <f ca="1">IFERROR(__xludf.DUMMYFUNCTION("IMPORTRANGE(""https://docs.google.com/spreadsheets/d/11923uPwbBZFjjGgGUA6NLw09EwE0CqkOc4q9oUmW1yo/edit?usp=sharing"",""พิจิตร!J367"")"),212)</f>
        <v>212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IFERROR(__xludf.DUMMYFUNCTION("IMPORTRANGE(""https://docs.google.com/spreadsheets/d/11923uPwbBZFjjGgGUA6NLw09EwE0CqkOc4q9oUmW1yo/edit?usp=sharing"",""พิจิตร!I368"")"),77223)</f>
        <v>77223</v>
      </c>
      <c r="J473" s="420">
        <f ca="1">IFERROR(__xludf.DUMMYFUNCTION("IMPORTRANGE(""https://docs.google.com/spreadsheets/d/11923uPwbBZFjjGgGUA6NLw09EwE0CqkOc4q9oUmW1yo/edit?usp=sharing"",""พิจิตร!J368"")"),77224)</f>
        <v>77224</v>
      </c>
      <c r="K473" s="201">
        <f t="shared" ca="1" si="117"/>
        <v>100.00129495098611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IFERROR(__xludf.DUMMYFUNCTION("IMPORTRANGE(""https://docs.google.com/spreadsheets/d/11923uPwbBZFjjGgGUA6NLw09EwE0CqkOc4q9oUmW1yo/edit?usp=sharing"",""พิจิตร!I369"")"),7854)</f>
        <v>7854</v>
      </c>
      <c r="J474" s="420">
        <f ca="1">IFERROR(__xludf.DUMMYFUNCTION("IMPORTRANGE(""https://docs.google.com/spreadsheets/d/11923uPwbBZFjjGgGUA6NLw09EwE0CqkOc4q9oUmW1yo/edit?usp=sharing"",""พิจิตร!J369"")"),7854)</f>
        <v>7854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IFERROR(__xludf.DUMMYFUNCTION("IMPORTRANGE(""https://docs.google.com/spreadsheets/d/11923uPwbBZFjjGgGUA6NLw09EwE0CqkOc4q9oUmW1yo/edit?usp=sharing"",""พิจิตร!I370"")"),0)</f>
        <v>0</v>
      </c>
      <c r="J475" s="188">
        <f ca="1">IFERROR(__xludf.DUMMYFUNCTION("IMPORTRANGE(""https://docs.google.com/spreadsheets/d/11923uPwbBZFjjGgGUA6NLw09EwE0CqkOc4q9oUmW1yo/edit?usp=sharing"",""พิจิตร!J370"")"),59899)</f>
        <v>59899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IFERROR(__xludf.DUMMYFUNCTION("IMPORTRANGE(""https://docs.google.com/spreadsheets/d/11923uPwbBZFjjGgGUA6NLw09EwE0CqkOc4q9oUmW1yo/edit?usp=sharing"",""พิจิตร!I371"")"),0)</f>
        <v>0</v>
      </c>
      <c r="J476" s="188">
        <f ca="1">IFERROR(__xludf.DUMMYFUNCTION("IMPORTRANGE(""https://docs.google.com/spreadsheets/d/11923uPwbBZFjjGgGUA6NLw09EwE0CqkOc4q9oUmW1yo/edit?usp=sharing"",""พิจิตร!J371"")"),6624)</f>
        <v>6624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IFERROR(__xludf.DUMMYFUNCTION("IMPORTRANGE(""https://docs.google.com/spreadsheets/d/11923uPwbBZFjjGgGUA6NLw09EwE0CqkOc4q9oUmW1yo/edit?usp=sharing"",""พิจิตร!I372"")"),0)</f>
        <v>0</v>
      </c>
      <c r="J477" s="188">
        <f ca="1">IFERROR(__xludf.DUMMYFUNCTION("IMPORTRANGE(""https://docs.google.com/spreadsheets/d/11923uPwbBZFjjGgGUA6NLw09EwE0CqkOc4q9oUmW1yo/edit?usp=sharing"",""พิจิตร!J372"")"),14730)</f>
        <v>14730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IFERROR(__xludf.DUMMYFUNCTION("IMPORTRANGE(""https://docs.google.com/spreadsheets/d/11923uPwbBZFjjGgGUA6NLw09EwE0CqkOc4q9oUmW1yo/edit?usp=sharing"",""พิจิตร!I373"")"),0)</f>
        <v>0</v>
      </c>
      <c r="J478" s="188">
        <f ca="1">IFERROR(__xludf.DUMMYFUNCTION("IMPORTRANGE(""https://docs.google.com/spreadsheets/d/11923uPwbBZFjjGgGUA6NLw09EwE0CqkOc4q9oUmW1yo/edit?usp=sharing"",""พิจิตร!J373"")"),1018)</f>
        <v>1018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IFERROR(__xludf.DUMMYFUNCTION("IMPORTRANGE(""https://docs.google.com/spreadsheets/d/11923uPwbBZFjjGgGUA6NLw09EwE0CqkOc4q9oUmW1yo/edit?usp=sharing"",""พิจิตร!I374"")"),0)</f>
        <v>0</v>
      </c>
      <c r="J479" s="188">
        <f ca="1">IFERROR(__xludf.DUMMYFUNCTION("IMPORTRANGE(""https://docs.google.com/spreadsheets/d/11923uPwbBZFjjGgGUA6NLw09EwE0CqkOc4q9oUmW1yo/edit?usp=sharing"",""พิจิตร!J374"")"),2595)</f>
        <v>2595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IFERROR(__xludf.DUMMYFUNCTION("IMPORTRANGE(""https://docs.google.com/spreadsheets/d/11923uPwbBZFjjGgGUA6NLw09EwE0CqkOc4q9oUmW1yo/edit?usp=sharing"",""พิจิตร!I375"")"),0)</f>
        <v>0</v>
      </c>
      <c r="J480" s="188">
        <f ca="1">IFERROR(__xludf.DUMMYFUNCTION("IMPORTRANGE(""https://docs.google.com/spreadsheets/d/11923uPwbBZFjjGgGUA6NLw09EwE0CqkOc4q9oUmW1yo/edit?usp=sharing"",""พิจิตร!J375"")"),212)</f>
        <v>212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IFERROR(__xludf.DUMMYFUNCTION("IMPORTRANGE(""https://docs.google.com/spreadsheets/d/11923uPwbBZFjjGgGUA6NLw09EwE0CqkOc4q9oUmW1yo/edit?usp=sharing"",""พิจิตร!I376"")"),77223)</f>
        <v>77223</v>
      </c>
      <c r="J481" s="420">
        <f ca="1">IFERROR(__xludf.DUMMYFUNCTION("IMPORTRANGE(""https://docs.google.com/spreadsheets/d/11923uPwbBZFjjGgGUA6NLw09EwE0CqkOc4q9oUmW1yo/edit?usp=sharing"",""พิจิตร!J376"")"),77224)</f>
        <v>77224</v>
      </c>
      <c r="K481" s="201">
        <f t="shared" ca="1" si="117"/>
        <v>100.00129495098611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IFERROR(__xludf.DUMMYFUNCTION("IMPORTRANGE(""https://docs.google.com/spreadsheets/d/11923uPwbBZFjjGgGUA6NLw09EwE0CqkOc4q9oUmW1yo/edit?usp=sharing"",""พิจิตร!I377"")"),7854)</f>
        <v>7854</v>
      </c>
      <c r="J482" s="420">
        <f ca="1">IFERROR(__xludf.DUMMYFUNCTION("IMPORTRANGE(""https://docs.google.com/spreadsheets/d/11923uPwbBZFjjGgGUA6NLw09EwE0CqkOc4q9oUmW1yo/edit?usp=sharing"",""พิจิตร!J377"")"),7854)</f>
        <v>7854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IFERROR(__xludf.DUMMYFUNCTION("IMPORTRANGE(""https://docs.google.com/spreadsheets/d/11923uPwbBZFjjGgGUA6NLw09EwE0CqkOc4q9oUmW1yo/edit?usp=sharing"",""พิจิตร!I378"")"),0)</f>
        <v>0</v>
      </c>
      <c r="J483" s="188">
        <f ca="1">IFERROR(__xludf.DUMMYFUNCTION("IMPORTRANGE(""https://docs.google.com/spreadsheets/d/11923uPwbBZFjjGgGUA6NLw09EwE0CqkOc4q9oUmW1yo/edit?usp=sharing"",""พิจิตร!J378"")"),59899)</f>
        <v>59899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IFERROR(__xludf.DUMMYFUNCTION("IMPORTRANGE(""https://docs.google.com/spreadsheets/d/11923uPwbBZFjjGgGUA6NLw09EwE0CqkOc4q9oUmW1yo/edit?usp=sharing"",""พิจิตร!I379"")"),0)</f>
        <v>0</v>
      </c>
      <c r="J484" s="188">
        <f ca="1">IFERROR(__xludf.DUMMYFUNCTION("IMPORTRANGE(""https://docs.google.com/spreadsheets/d/11923uPwbBZFjjGgGUA6NLw09EwE0CqkOc4q9oUmW1yo/edit?usp=sharing"",""พิจิตร!J379"")"),6624)</f>
        <v>6624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IFERROR(__xludf.DUMMYFUNCTION("IMPORTRANGE(""https://docs.google.com/spreadsheets/d/11923uPwbBZFjjGgGUA6NLw09EwE0CqkOc4q9oUmW1yo/edit?usp=sharing"",""พิจิตร!I380"")"),0)</f>
        <v>0</v>
      </c>
      <c r="J485" s="188">
        <f ca="1">IFERROR(__xludf.DUMMYFUNCTION("IMPORTRANGE(""https://docs.google.com/spreadsheets/d/11923uPwbBZFjjGgGUA6NLw09EwE0CqkOc4q9oUmW1yo/edit?usp=sharing"",""พิจิตร!J380"")"),14730)</f>
        <v>14730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IFERROR(__xludf.DUMMYFUNCTION("IMPORTRANGE(""https://docs.google.com/spreadsheets/d/11923uPwbBZFjjGgGUA6NLw09EwE0CqkOc4q9oUmW1yo/edit?usp=sharing"",""พิจิตร!I381"")"),0)</f>
        <v>0</v>
      </c>
      <c r="J486" s="188">
        <f ca="1">IFERROR(__xludf.DUMMYFUNCTION("IMPORTRANGE(""https://docs.google.com/spreadsheets/d/11923uPwbBZFjjGgGUA6NLw09EwE0CqkOc4q9oUmW1yo/edit?usp=sharing"",""พิจิตร!J381"")"),1018)</f>
        <v>1018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IFERROR(__xludf.DUMMYFUNCTION("IMPORTRANGE(""https://docs.google.com/spreadsheets/d/11923uPwbBZFjjGgGUA6NLw09EwE0CqkOc4q9oUmW1yo/edit?usp=sharing"",""พิจิตร!I382"")"),0)</f>
        <v>0</v>
      </c>
      <c r="J487" s="420">
        <f ca="1">IFERROR(__xludf.DUMMYFUNCTION("IMPORTRANGE(""https://docs.google.com/spreadsheets/d/11923uPwbBZFjjGgGUA6NLw09EwE0CqkOc4q9oUmW1yo/edit?usp=sharing"",""พิจิตร!J382"")"),2595)</f>
        <v>2595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IFERROR(__xludf.DUMMYFUNCTION("IMPORTRANGE(""https://docs.google.com/spreadsheets/d/11923uPwbBZFjjGgGUA6NLw09EwE0CqkOc4q9oUmW1yo/edit?usp=sharing"",""พิจิตร!I383"")"),0)</f>
        <v>0</v>
      </c>
      <c r="J488" s="420">
        <f ca="1">IFERROR(__xludf.DUMMYFUNCTION("IMPORTRANGE(""https://docs.google.com/spreadsheets/d/11923uPwbBZFjjGgGUA6NLw09EwE0CqkOc4q9oUmW1yo/edit?usp=sharing"",""พิจิตร!J383"")"),212)</f>
        <v>212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IFERROR(__xludf.DUMMYFUNCTION("IMPORTRANGE(""https://docs.google.com/spreadsheets/d/11923uPwbBZFjjGgGUA6NLw09EwE0CqkOc4q9oUmW1yo/edit?usp=sharing"",""พิจิตร!I384"")"),0)</f>
        <v>0</v>
      </c>
      <c r="J489" s="188">
        <f ca="1">IFERROR(__xludf.DUMMYFUNCTION("IMPORTRANGE(""https://docs.google.com/spreadsheets/d/11923uPwbBZFjjGgGUA6NLw09EwE0CqkOc4q9oUmW1yo/edit?usp=sharing"",""พิจิตร!J384"")"),2552)</f>
        <v>2552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IFERROR(__xludf.DUMMYFUNCTION("IMPORTRANGE(""https://docs.google.com/spreadsheets/d/11923uPwbBZFjjGgGUA6NLw09EwE0CqkOc4q9oUmW1yo/edit?usp=sharing"",""พิจิตร!I385"")"),0)</f>
        <v>0</v>
      </c>
      <c r="J490" s="188">
        <f ca="1">IFERROR(__xludf.DUMMYFUNCTION("IMPORTRANGE(""https://docs.google.com/spreadsheets/d/11923uPwbBZFjjGgGUA6NLw09EwE0CqkOc4q9oUmW1yo/edit?usp=sharing"",""พิจิตร!J385"")"),207)</f>
        <v>207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IFERROR(__xludf.DUMMYFUNCTION("IMPORTRANGE(""https://docs.google.com/spreadsheets/d/11923uPwbBZFjjGgGUA6NLw09EwE0CqkOc4q9oUmW1yo/edit?usp=sharing"",""พิจิตร!I386"")"),0)</f>
        <v>0</v>
      </c>
      <c r="J491" s="188">
        <f ca="1">IFERROR(__xludf.DUMMYFUNCTION("IMPORTRANGE(""https://docs.google.com/spreadsheets/d/11923uPwbBZFjjGgGUA6NLw09EwE0CqkOc4q9oUmW1yo/edit?usp=sharing"",""พิจิตร!J386"")"),43)</f>
        <v>43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IFERROR(__xludf.DUMMYFUNCTION("IMPORTRANGE(""https://docs.google.com/spreadsheets/d/11923uPwbBZFjjGgGUA6NLw09EwE0CqkOc4q9oUmW1yo/edit?usp=sharing"",""พิจิตร!I387"")"),0)</f>
        <v>0</v>
      </c>
      <c r="J492" s="188">
        <f ca="1">IFERROR(__xludf.DUMMYFUNCTION("IMPORTRANGE(""https://docs.google.com/spreadsheets/d/11923uPwbBZFjjGgGUA6NLw09EwE0CqkOc4q9oUmW1yo/edit?usp=sharing"",""พิจิตร!J387"")"),5)</f>
        <v>5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IFERROR(__xludf.DUMMYFUNCTION("IMPORTRANGE(""https://docs.google.com/spreadsheets/d/11923uPwbBZFjjGgGUA6NLw09EwE0CqkOc4q9oUmW1yo/edit?usp=sharing"",""พิจิตร!I388"")"),0)</f>
        <v>0</v>
      </c>
      <c r="J493" s="188">
        <f ca="1">IFERROR(__xludf.DUMMYFUNCTION("IMPORTRANGE(""https://docs.google.com/spreadsheets/d/11923uPwbBZFjjGgGUA6NLw09EwE0CqkOc4q9oUmW1yo/edit?usp=sharing"",""พิจิตร!J388"")"),0)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IFERROR(__xludf.DUMMYFUNCTION("IMPORTRANGE(""https://docs.google.com/spreadsheets/d/11923uPwbBZFjjGgGUA6NLw09EwE0CqkOc4q9oUmW1yo/edit?usp=sharing"",""พิจิตร!I389"")"),0)</f>
        <v>0</v>
      </c>
      <c r="J494" s="436">
        <f ca="1">IFERROR(__xludf.DUMMYFUNCTION("IMPORTRANGE(""https://docs.google.com/spreadsheets/d/11923uPwbBZFjjGgGUA6NLw09EwE0CqkOc4q9oUmW1yo/edit?usp=sharing"",""พิจิตร!J389"")"),0)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IFERROR(__xludf.DUMMYFUNCTION("IMPORTRANGE(""https://docs.google.com/spreadsheets/d/11923uPwbBZFjjGgGUA6NLw09EwE0CqkOc4q9oUmW1yo/edit?usp=sharing"",""พิจิตร!I390"")"),0)</f>
        <v>0</v>
      </c>
      <c r="J495" s="436">
        <f ca="1">IFERROR(__xludf.DUMMYFUNCTION("IMPORTRANGE(""https://docs.google.com/spreadsheets/d/11923uPwbBZFjjGgGUA6NLw09EwE0CqkOc4q9oUmW1yo/edit?usp=sharing"",""พิจิตร!J390"")"),0)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IFERROR(__xludf.DUMMYFUNCTION("IMPORTRANGE(""https://docs.google.com/spreadsheets/d/11923uPwbBZFjjGgGUA6NLw09EwE0CqkOc4q9oUmW1yo/edit?usp=sharing"",""พิจิตร!I391"")"),0)</f>
        <v>0</v>
      </c>
      <c r="J496" s="436">
        <f ca="1">IFERROR(__xludf.DUMMYFUNCTION("IMPORTRANGE(""https://docs.google.com/spreadsheets/d/11923uPwbBZFjjGgGUA6NLw09EwE0CqkOc4q9oUmW1yo/edit?usp=sharing"",""พิจิตร!J391"")"),0)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IFERROR(__xludf.DUMMYFUNCTION("IMPORTRANGE(""https://docs.google.com/spreadsheets/d/11923uPwbBZFjjGgGUA6NLw09EwE0CqkOc4q9oUmW1yo/edit?usp=sharing"",""พิจิตร!I392"")"),1124)</f>
        <v>1124</v>
      </c>
      <c r="J497" s="443">
        <f ca="1">IFERROR(__xludf.DUMMYFUNCTION("IMPORTRANGE(""https://docs.google.com/spreadsheets/d/11923uPwbBZFjjGgGUA6NLw09EwE0CqkOc4q9oUmW1yo/edit?usp=sharing"",""พิจิตร!J392"")"),754.27)</f>
        <v>754.27</v>
      </c>
      <c r="K497" s="444">
        <f t="shared" ca="1" si="117"/>
        <v>67.105871886120994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IFERROR(__xludf.DUMMYFUNCTION("IMPORTRANGE(""https://docs.google.com/spreadsheets/d/11923uPwbBZFjjGgGUA6NLw09EwE0CqkOc4q9oUmW1yo/edit?usp=sharing"",""พิจิตร!I393"")"),1124)</f>
        <v>1124</v>
      </c>
      <c r="J498" s="420">
        <f ca="1">IFERROR(__xludf.DUMMYFUNCTION("IMPORTRANGE(""https://docs.google.com/spreadsheets/d/11923uPwbBZFjjGgGUA6NLw09EwE0CqkOc4q9oUmW1yo/edit?usp=sharing"",""พิจิตร!J393"")"),754.27)</f>
        <v>754.27</v>
      </c>
      <c r="K498" s="163">
        <f t="shared" ca="1" si="117"/>
        <v>67.105871886120994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IFERROR(__xludf.DUMMYFUNCTION("IMPORTRANGE(""https://docs.google.com/spreadsheets/d/11923uPwbBZFjjGgGUA6NLw09EwE0CqkOc4q9oUmW1yo/edit?usp=sharing"",""พิจิตร!I394"")"),58)</f>
        <v>58</v>
      </c>
      <c r="J499" s="420">
        <f ca="1">IFERROR(__xludf.DUMMYFUNCTION("IMPORTRANGE(""https://docs.google.com/spreadsheets/d/11923uPwbBZFjjGgGUA6NLw09EwE0CqkOc4q9oUmW1yo/edit?usp=sharing"",""พิจิตร!J394"")"),40)</f>
        <v>40</v>
      </c>
      <c r="K499" s="201">
        <f t="shared" ca="1" si="117"/>
        <v>68.965517241379317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IFERROR(__xludf.DUMMYFUNCTION("IMPORTRANGE(""https://docs.google.com/spreadsheets/d/11923uPwbBZFjjGgGUA6NLw09EwE0CqkOc4q9oUmW1yo/edit?usp=sharing"",""พิจิตร!I395"")"),0)</f>
        <v>0</v>
      </c>
      <c r="J500" s="162">
        <f ca="1">IFERROR(__xludf.DUMMYFUNCTION("IMPORTRANGE(""https://docs.google.com/spreadsheets/d/11923uPwbBZFjjGgGUA6NLw09EwE0CqkOc4q9oUmW1yo/edit?usp=sharing"",""พิจิตร!J395"")"),728.25)</f>
        <v>728.25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IFERROR(__xludf.DUMMYFUNCTION("IMPORTRANGE(""https://docs.google.com/spreadsheets/d/11923uPwbBZFjjGgGUA6NLw09EwE0CqkOc4q9oUmW1yo/edit?usp=sharing"",""พิจิตร!I396"")"),0)</f>
        <v>0</v>
      </c>
      <c r="J501" s="162">
        <f ca="1">IFERROR(__xludf.DUMMYFUNCTION("IMPORTRANGE(""https://docs.google.com/spreadsheets/d/11923uPwbBZFjjGgGUA6NLw09EwE0CqkOc4q9oUmW1yo/edit?usp=sharing"",""พิจิตร!J396"")"),38)</f>
        <v>38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IFERROR(__xludf.DUMMYFUNCTION("IMPORTRANGE(""https://docs.google.com/spreadsheets/d/11923uPwbBZFjjGgGUA6NLw09EwE0CqkOc4q9oUmW1yo/edit?usp=sharing"",""พิจิตร!I397"")"),0)</f>
        <v>0</v>
      </c>
      <c r="J502" s="188">
        <f ca="1">IFERROR(__xludf.DUMMYFUNCTION("IMPORTRANGE(""https://docs.google.com/spreadsheets/d/11923uPwbBZFjjGgGUA6NLw09EwE0CqkOc4q9oUmW1yo/edit?usp=sharing"",""พิจิตร!J397"")"),728.25)</f>
        <v>728.25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IFERROR(__xludf.DUMMYFUNCTION("IMPORTRANGE(""https://docs.google.com/spreadsheets/d/11923uPwbBZFjjGgGUA6NLw09EwE0CqkOc4q9oUmW1yo/edit?usp=sharing"",""พิจิตร!I398"")"),0)</f>
        <v>0</v>
      </c>
      <c r="J503" s="197">
        <f ca="1">IFERROR(__xludf.DUMMYFUNCTION("IMPORTRANGE(""https://docs.google.com/spreadsheets/d/11923uPwbBZFjjGgGUA6NLw09EwE0CqkOc4q9oUmW1yo/edit?usp=sharing"",""พิจิตร!J398"")"),38)</f>
        <v>38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IFERROR(__xludf.DUMMYFUNCTION("IMPORTRANGE(""https://docs.google.com/spreadsheets/d/11923uPwbBZFjjGgGUA6NLw09EwE0CqkOc4q9oUmW1yo/edit?usp=sharing"",""พิจิตร!I399"")"),0)</f>
        <v>0</v>
      </c>
      <c r="J504" s="188">
        <f ca="1">IFERROR(__xludf.DUMMYFUNCTION("IMPORTRANGE(""https://docs.google.com/spreadsheets/d/11923uPwbBZFjjGgGUA6NLw09EwE0CqkOc4q9oUmW1yo/edit?usp=sharing"",""พิจิตร!J399"")"),0)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IFERROR(__xludf.DUMMYFUNCTION("IMPORTRANGE(""https://docs.google.com/spreadsheets/d/11923uPwbBZFjjGgGUA6NLw09EwE0CqkOc4q9oUmW1yo/edit?usp=sharing"",""พิจิตร!I400"")"),0)</f>
        <v>0</v>
      </c>
      <c r="J505" s="197">
        <f ca="1">IFERROR(__xludf.DUMMYFUNCTION("IMPORTRANGE(""https://docs.google.com/spreadsheets/d/11923uPwbBZFjjGgGUA6NLw09EwE0CqkOc4q9oUmW1yo/edit?usp=sharing"",""พิจิตร!J400"")"),0)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IFERROR(__xludf.DUMMYFUNCTION("IMPORTRANGE(""https://docs.google.com/spreadsheets/d/11923uPwbBZFjjGgGUA6NLw09EwE0CqkOc4q9oUmW1yo/edit?usp=sharing"",""พิจิตร!I401"")"),0)</f>
        <v>0</v>
      </c>
      <c r="J506" s="188">
        <f ca="1">IFERROR(__xludf.DUMMYFUNCTION("IMPORTRANGE(""https://docs.google.com/spreadsheets/d/11923uPwbBZFjjGgGUA6NLw09EwE0CqkOc4q9oUmW1yo/edit?usp=sharing"",""พิจิตร!J401"")"),0)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IFERROR(__xludf.DUMMYFUNCTION("IMPORTRANGE(""https://docs.google.com/spreadsheets/d/11923uPwbBZFjjGgGUA6NLw09EwE0CqkOc4q9oUmW1yo/edit?usp=sharing"",""พิจิตร!I402"")"),0)</f>
        <v>0</v>
      </c>
      <c r="J507" s="197">
        <f ca="1">IFERROR(__xludf.DUMMYFUNCTION("IMPORTRANGE(""https://docs.google.com/spreadsheets/d/11923uPwbBZFjjGgGUA6NLw09EwE0CqkOc4q9oUmW1yo/edit?usp=sharing"",""พิจิตร!J402"")"),0)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IFERROR(__xludf.DUMMYFUNCTION("IMPORTRANGE(""https://docs.google.com/spreadsheets/d/11923uPwbBZFjjGgGUA6NLw09EwE0CqkOc4q9oUmW1yo/edit?usp=sharing"",""พิจิตร!I403"")"),0)</f>
        <v>0</v>
      </c>
      <c r="J508" s="162">
        <f ca="1">IFERROR(__xludf.DUMMYFUNCTION("IMPORTRANGE(""https://docs.google.com/spreadsheets/d/11923uPwbBZFjjGgGUA6NLw09EwE0CqkOc4q9oUmW1yo/edit?usp=sharing"",""พิจิตร!J403"")"),26.02)</f>
        <v>26.02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IFERROR(__xludf.DUMMYFUNCTION("IMPORTRANGE(""https://docs.google.com/spreadsheets/d/11923uPwbBZFjjGgGUA6NLw09EwE0CqkOc4q9oUmW1yo/edit?usp=sharing"",""พิจิตร!I404"")"),0)</f>
        <v>0</v>
      </c>
      <c r="J509" s="162">
        <f ca="1">IFERROR(__xludf.DUMMYFUNCTION("IMPORTRANGE(""https://docs.google.com/spreadsheets/d/11923uPwbBZFjjGgGUA6NLw09EwE0CqkOc4q9oUmW1yo/edit?usp=sharing"",""พิจิตร!J404"")"),2)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IFERROR(__xludf.DUMMYFUNCTION("IMPORTRANGE(""https://docs.google.com/spreadsheets/d/11923uPwbBZFjjGgGUA6NLw09EwE0CqkOc4q9oUmW1yo/edit?usp=sharing"",""พิจิตร!I405"")"),0)</f>
        <v>0</v>
      </c>
      <c r="J510" s="197">
        <f ca="1">IFERROR(__xludf.DUMMYFUNCTION("IMPORTRANGE(""https://docs.google.com/spreadsheets/d/11923uPwbBZFjjGgGUA6NLw09EwE0CqkOc4q9oUmW1yo/edit?usp=sharing"",""พิจิตร!J405"")"),26.02)</f>
        <v>26.02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IFERROR(__xludf.DUMMYFUNCTION("IMPORTRANGE(""https://docs.google.com/spreadsheets/d/11923uPwbBZFjjGgGUA6NLw09EwE0CqkOc4q9oUmW1yo/edit?usp=sharing"",""พิจิตร!I406"")"),0)</f>
        <v>0</v>
      </c>
      <c r="J511" s="197">
        <f ca="1">IFERROR(__xludf.DUMMYFUNCTION("IMPORTRANGE(""https://docs.google.com/spreadsheets/d/11923uPwbBZFjjGgGUA6NLw09EwE0CqkOc4q9oUmW1yo/edit?usp=sharing"",""พิจิตร!J406"")"),2)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IFERROR(__xludf.DUMMYFUNCTION("IMPORTRANGE(""https://docs.google.com/spreadsheets/d/11923uPwbBZFjjGgGUA6NLw09EwE0CqkOc4q9oUmW1yo/edit?usp=sharing"",""พิจิตร!I407"")"),0)</f>
        <v>0</v>
      </c>
      <c r="J512" s="197">
        <f ca="1">IFERROR(__xludf.DUMMYFUNCTION("IMPORTRANGE(""https://docs.google.com/spreadsheets/d/11923uPwbBZFjjGgGUA6NLw09EwE0CqkOc4q9oUmW1yo/edit?usp=sharing"",""พิจิตร!J407"")"),0)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IFERROR(__xludf.DUMMYFUNCTION("IMPORTRANGE(""https://docs.google.com/spreadsheets/d/11923uPwbBZFjjGgGUA6NLw09EwE0CqkOc4q9oUmW1yo/edit?usp=sharing"",""พิจิตร!I408"")"),0)</f>
        <v>0</v>
      </c>
      <c r="J513" s="197">
        <f ca="1">IFERROR(__xludf.DUMMYFUNCTION("IMPORTRANGE(""https://docs.google.com/spreadsheets/d/11923uPwbBZFjjGgGUA6NLw09EwE0CqkOc4q9oUmW1yo/edit?usp=sharing"",""พิจิตร!J408"")"),0)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IFERROR(__xludf.DUMMYFUNCTION("IMPORTRANGE(""https://docs.google.com/spreadsheets/d/11923uPwbBZFjjGgGUA6NLw09EwE0CqkOc4q9oUmW1yo/edit?usp=sharing"",""พิจิตร!I409"")"),0)</f>
        <v>0</v>
      </c>
      <c r="J514" s="197">
        <f ca="1">IFERROR(__xludf.DUMMYFUNCTION("IMPORTRANGE(""https://docs.google.com/spreadsheets/d/11923uPwbBZFjjGgGUA6NLw09EwE0CqkOc4q9oUmW1yo/edit?usp=sharing"",""พิจิตร!J409"")"),0)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IFERROR(__xludf.DUMMYFUNCTION("IMPORTRANGE(""https://docs.google.com/spreadsheets/d/11923uPwbBZFjjGgGUA6NLw09EwE0CqkOc4q9oUmW1yo/edit?usp=sharing"",""พิจิตร!I410"")"),0)</f>
        <v>0</v>
      </c>
      <c r="J515" s="197">
        <f ca="1">IFERROR(__xludf.DUMMYFUNCTION("IMPORTRANGE(""https://docs.google.com/spreadsheets/d/11923uPwbBZFjjGgGUA6NLw09EwE0CqkOc4q9oUmW1yo/edit?usp=sharing"",""พิจิตร!J410"")"),0)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IFERROR(__xludf.DUMMYFUNCTION("IMPORTRANGE(""https://docs.google.com/spreadsheets/d/11923uPwbBZFjjGgGUA6NLw09EwE0CqkOc4q9oUmW1yo/edit?usp=sharing"",""พิจิตร!I411"")"),0)</f>
        <v>0</v>
      </c>
      <c r="J516" s="267">
        <f ca="1">IFERROR(__xludf.DUMMYFUNCTION("IMPORTRANGE(""https://docs.google.com/spreadsheets/d/11923uPwbBZFjjGgGUA6NLw09EwE0CqkOc4q9oUmW1yo/edit?usp=sharing"",""พิจิตร!J411"")"),0)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IFERROR(__xludf.DUMMYFUNCTION("IMPORTRANGE(""https://docs.google.com/spreadsheets/d/11923uPwbBZFjjGgGUA6NLw09EwE0CqkOc4q9oUmW1yo/edit?usp=sharing"",""พิจิตร!I412"")"),0)</f>
        <v>0</v>
      </c>
      <c r="J517" s="284">
        <f ca="1">IFERROR(__xludf.DUMMYFUNCTION("IMPORTRANGE(""https://docs.google.com/spreadsheets/d/11923uPwbBZFjjGgGUA6NLw09EwE0CqkOc4q9oUmW1yo/edit?usp=sharing"",""พิจิตร!J412"")"),0)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IFERROR(__xludf.DUMMYFUNCTION("IMPORTRANGE(""https://docs.google.com/spreadsheets/d/11923uPwbBZFjjGgGUA6NLw09EwE0CqkOc4q9oUmW1yo/edit?usp=sharing"",""พิจิตร!I413"")"),0)</f>
        <v>0</v>
      </c>
      <c r="J518" s="284">
        <f ca="1">IFERROR(__xludf.DUMMYFUNCTION("IMPORTRANGE(""https://docs.google.com/spreadsheets/d/11923uPwbBZFjjGgGUA6NLw09EwE0CqkOc4q9oUmW1yo/edit?usp=sharing"",""พิจิตร!J413"")"),0)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IFERROR(__xludf.DUMMYFUNCTION("IMPORTRANGE(""https://docs.google.com/spreadsheets/d/11923uPwbBZFjjGgGUA6NLw09EwE0CqkOc4q9oUmW1yo/edit?usp=sharing"",""พิจิตร!I414"")"),0)</f>
        <v>0</v>
      </c>
      <c r="J519" s="187">
        <f ca="1">IFERROR(__xludf.DUMMYFUNCTION("IMPORTRANGE(""https://docs.google.com/spreadsheets/d/11923uPwbBZFjjGgGUA6NLw09EwE0CqkOc4q9oUmW1yo/edit?usp=sharing"",""พิจิตร!J414"")"),0)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IFERROR(__xludf.DUMMYFUNCTION("IMPORTRANGE(""https://docs.google.com/spreadsheets/d/11923uPwbBZFjjGgGUA6NLw09EwE0CqkOc4q9oUmW1yo/edit?usp=sharing"",""พิจิตร!I415"")"),0)</f>
        <v>0</v>
      </c>
      <c r="J520" s="187">
        <f ca="1">IFERROR(__xludf.DUMMYFUNCTION("IMPORTRANGE(""https://docs.google.com/spreadsheets/d/11923uPwbBZFjjGgGUA6NLw09EwE0CqkOc4q9oUmW1yo/edit?usp=sharing"",""พิจิตร!J415"")"),0)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IFERROR(__xludf.DUMMYFUNCTION("IMPORTRANGE(""https://docs.google.com/spreadsheets/d/11923uPwbBZFjjGgGUA6NLw09EwE0CqkOc4q9oUmW1yo/edit?usp=sharing"",""พิจิตร!I416"")"),0)</f>
        <v>0</v>
      </c>
      <c r="J521" s="187">
        <f ca="1">IFERROR(__xludf.DUMMYFUNCTION("IMPORTRANGE(""https://docs.google.com/spreadsheets/d/11923uPwbBZFjjGgGUA6NLw09EwE0CqkOc4q9oUmW1yo/edit?usp=sharing"",""พิจิตร!J416"")"),0)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IFERROR(__xludf.DUMMYFUNCTION("IMPORTRANGE(""https://docs.google.com/spreadsheets/d/11923uPwbBZFjjGgGUA6NLw09EwE0CqkOc4q9oUmW1yo/edit?usp=sharing"",""พิจิตร!I417"")"),0)</f>
        <v>0</v>
      </c>
      <c r="J522" s="187">
        <f ca="1">IFERROR(__xludf.DUMMYFUNCTION("IMPORTRANGE(""https://docs.google.com/spreadsheets/d/11923uPwbBZFjjGgGUA6NLw09EwE0CqkOc4q9oUmW1yo/edit?usp=sharing"",""พิจิตร!J417"")"),0)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IFERROR(__xludf.DUMMYFUNCTION("IMPORTRANGE(""https://docs.google.com/spreadsheets/d/11923uPwbBZFjjGgGUA6NLw09EwE0CqkOc4q9oUmW1yo/edit?usp=sharing"",""พิจิตร!I418"")"),0)</f>
        <v>0</v>
      </c>
      <c r="J523" s="187">
        <f ca="1">IFERROR(__xludf.DUMMYFUNCTION("IMPORTRANGE(""https://docs.google.com/spreadsheets/d/11923uPwbBZFjjGgGUA6NLw09EwE0CqkOc4q9oUmW1yo/edit?usp=sharing"",""พิจิตร!J418"")"),106)</f>
        <v>106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IFERROR(__xludf.DUMMYFUNCTION("IMPORTRANGE(""https://docs.google.com/spreadsheets/d/11923uPwbBZFjjGgGUA6NLw09EwE0CqkOc4q9oUmW1yo/edit?usp=sharing"",""พิจิตร!I419"")"),0)</f>
        <v>0</v>
      </c>
      <c r="J524" s="187">
        <f ca="1">IFERROR(__xludf.DUMMYFUNCTION("IMPORTRANGE(""https://docs.google.com/spreadsheets/d/11923uPwbBZFjjGgGUA6NLw09EwE0CqkOc4q9oUmW1yo/edit?usp=sharing"",""พิจิตร!J419"")"),30)</f>
        <v>30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IFERROR(__xludf.DUMMYFUNCTION("IMPORTRANGE(""https://docs.google.com/spreadsheets/d/11923uPwbBZFjjGgGUA6NLw09EwE0CqkOc4q9oUmW1yo/edit?usp=sharing"",""พิจิตร!I420"")"),106)</f>
        <v>106</v>
      </c>
      <c r="J525" s="284">
        <f ca="1">IFERROR(__xludf.DUMMYFUNCTION("IMPORTRANGE(""https://docs.google.com/spreadsheets/d/11923uPwbBZFjjGgGUA6NLw09EwE0CqkOc4q9oUmW1yo/edit?usp=sharing"",""พิจิตร!J420"")"),119.77)</f>
        <v>119.77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IFERROR(__xludf.DUMMYFUNCTION("IMPORTRANGE(""https://docs.google.com/spreadsheets/d/11923uPwbBZFjjGgGUA6NLw09EwE0CqkOc4q9oUmW1yo/edit?usp=sharing"",""พิจิตร!I421"")"),30)</f>
        <v>30</v>
      </c>
      <c r="J526" s="284">
        <f ca="1">IFERROR(__xludf.DUMMYFUNCTION("IMPORTRANGE(""https://docs.google.com/spreadsheets/d/11923uPwbBZFjjGgGUA6NLw09EwE0CqkOc4q9oUmW1yo/edit?usp=sharing"",""พิจิตร!J421"")"),31)</f>
        <v>31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IFERROR(__xludf.DUMMYFUNCTION("IMPORTRANGE(""https://docs.google.com/spreadsheets/d/11923uPwbBZFjjGgGUA6NLw09EwE0CqkOc4q9oUmW1yo/edit?usp=sharing"",""พิจิตร!I422"")"),0)</f>
        <v>0</v>
      </c>
      <c r="J527" s="197">
        <f ca="1">IFERROR(__xludf.DUMMYFUNCTION("IMPORTRANGE(""https://docs.google.com/spreadsheets/d/11923uPwbBZFjjGgGUA6NLw09EwE0CqkOc4q9oUmW1yo/edit?usp=sharing"",""พิจิตร!J422"")"),14.28)</f>
        <v>14.28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IFERROR(__xludf.DUMMYFUNCTION("IMPORTRANGE(""https://docs.google.com/spreadsheets/d/11923uPwbBZFjjGgGUA6NLw09EwE0CqkOc4q9oUmW1yo/edit?usp=sharing"",""พิจิตร!I423"")"),0)</f>
        <v>0</v>
      </c>
      <c r="J528" s="197">
        <f ca="1">IFERROR(__xludf.DUMMYFUNCTION("IMPORTRANGE(""https://docs.google.com/spreadsheets/d/11923uPwbBZFjjGgGUA6NLw09EwE0CqkOc4q9oUmW1yo/edit?usp=sharing"",""พิจิตร!J423"")"),6)</f>
        <v>6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IFERROR(__xludf.DUMMYFUNCTION("IMPORTRANGE(""https://docs.google.com/spreadsheets/d/11923uPwbBZFjjGgGUA6NLw09EwE0CqkOc4q9oUmW1yo/edit?usp=sharing"",""พิจิตร!I424"")"),0)</f>
        <v>0</v>
      </c>
      <c r="J529" s="197">
        <f ca="1">IFERROR(__xludf.DUMMYFUNCTION("IMPORTRANGE(""https://docs.google.com/spreadsheets/d/11923uPwbBZFjjGgGUA6NLw09EwE0CqkOc4q9oUmW1yo/edit?usp=sharing"",""พิจิตร!J424"")"),105.49)</f>
        <v>105.49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IFERROR(__xludf.DUMMYFUNCTION("IMPORTRANGE(""https://docs.google.com/spreadsheets/d/11923uPwbBZFjjGgGUA6NLw09EwE0CqkOc4q9oUmW1yo/edit?usp=sharing"",""พิจิตร!I425"")"),0)</f>
        <v>0</v>
      </c>
      <c r="J530" s="197">
        <f ca="1">IFERROR(__xludf.DUMMYFUNCTION("IMPORTRANGE(""https://docs.google.com/spreadsheets/d/11923uPwbBZFjjGgGUA6NLw09EwE0CqkOc4q9oUmW1yo/edit?usp=sharing"",""พิจิตร!J425"")"),25)</f>
        <v>25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IFERROR(__xludf.DUMMYFUNCTION("IMPORTRANGE(""https://docs.google.com/spreadsheets/d/11923uPwbBZFjjGgGUA6NLw09EwE0CqkOc4q9oUmW1yo/edit?usp=sharing"",""พิจิตร!I426"")"),0)</f>
        <v>0</v>
      </c>
      <c r="J531" s="197">
        <f ca="1">IFERROR(__xludf.DUMMYFUNCTION("IMPORTRANGE(""https://docs.google.com/spreadsheets/d/11923uPwbBZFjjGgGUA6NLw09EwE0CqkOc4q9oUmW1yo/edit?usp=sharing"",""พิจิตร!J426"")"),0)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IFERROR(__xludf.DUMMYFUNCTION("IMPORTRANGE(""https://docs.google.com/spreadsheets/d/11923uPwbBZFjjGgGUA6NLw09EwE0CqkOc4q9oUmW1yo/edit?usp=sharing"",""พิจิตร!I427"")"),0)</f>
        <v>0</v>
      </c>
      <c r="J532" s="466">
        <f ca="1">IFERROR(__xludf.DUMMYFUNCTION("IMPORTRANGE(""https://docs.google.com/spreadsheets/d/11923uPwbBZFjjGgGUA6NLw09EwE0CqkOc4q9oUmW1yo/edit?usp=sharing"",""พิจิตร!J427"")"),0)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IFERROR(__xludf.DUMMYFUNCTION("IMPORTRANGE(""https://docs.google.com/spreadsheets/d/11923uPwbBZFjjGgGUA6NLw09EwE0CqkOc4q9oUmW1yo/edit?usp=sharing"",""พิจิตร!I428"")"),22)</f>
        <v>22</v>
      </c>
      <c r="J533" s="409">
        <f ca="1">IFERROR(__xludf.DUMMYFUNCTION("IMPORTRANGE(""https://docs.google.com/spreadsheets/d/11923uPwbBZFjjGgGUA6NLw09EwE0CqkOc4q9oUmW1yo/edit?usp=sharing"",""พิจิตร!J428"")"),22)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IFERROR(__xludf.DUMMYFUNCTION("IMPORTRANGE(""https://docs.google.com/spreadsheets/d/11923uPwbBZFjjGgGUA6NLw09EwE0CqkOc4q9oUmW1yo/edit?usp=sharing"",""พิจิตร!L428"")"),34340)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IFERROR(__xludf.DUMMYFUNCTION("IMPORTRANGE(""https://docs.google.com/spreadsheets/d/11923uPwbBZFjjGgGUA6NLw09EwE0CqkOc4q9oUmW1yo/edit?usp=sharing"",""พิจิตร!M428"")"),18181)</f>
        <v>18181</v>
      </c>
      <c r="O533" s="411">
        <f t="shared" ref="O533:O537" ca="1" si="118">+IF(L533&gt;0,N533*100/L533,0)</f>
        <v>52.944088526499712</v>
      </c>
      <c r="P533" s="411"/>
    </row>
    <row r="534" spans="1:16" ht="21.75" customHeight="1" x14ac:dyDescent="0.3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IFERROR(__xludf.DUMMYFUNCTION("IMPORTRANGE(""https://docs.google.com/spreadsheets/d/11923uPwbBZFjjGgGUA6NLw09EwE0CqkOc4q9oUmW1yo/edit?usp=sharing"",""พิจิตร!L429"")"),0)</f>
        <v>0</v>
      </c>
      <c r="M534" s="164"/>
      <c r="N534" s="168">
        <f ca="1">IFERROR(__xludf.DUMMYFUNCTION("IMPORTRANGE(""https://docs.google.com/spreadsheets/d/11923uPwbBZFjjGgGUA6NLw09EwE0CqkOc4q9oUmW1yo/edit?usp=sharing"",""พิจิตร!M429"")"),0)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IFERROR(__xludf.DUMMYFUNCTION("IMPORTRANGE(""https://docs.google.com/spreadsheets/d/11923uPwbBZFjjGgGUA6NLw09EwE0CqkOc4q9oUmW1yo/edit?usp=sharing"",""พิจิตร!L430"")"),34340)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IFERROR(__xludf.DUMMYFUNCTION("IMPORTRANGE(""https://docs.google.com/spreadsheets/d/11923uPwbBZFjjGgGUA6NLw09EwE0CqkOc4q9oUmW1yo/edit?usp=sharing"",""พิจิตร!M430"")"),18181)</f>
        <v>18181</v>
      </c>
      <c r="O535" s="168">
        <f t="shared" ca="1" si="118"/>
        <v>52.944088526499712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IFERROR(__xludf.DUMMYFUNCTION("IMPORTRANGE(""https://docs.google.com/spreadsheets/d/11923uPwbBZFjjGgGUA6NLw09EwE0CqkOc4q9oUmW1yo/edit?usp=sharing"",""พิจิตร!L431"")"),0)</f>
        <v>0</v>
      </c>
      <c r="M536" s="168"/>
      <c r="N536" s="168">
        <f ca="1">IFERROR(__xludf.DUMMYFUNCTION("IMPORTRANGE(""https://docs.google.com/spreadsheets/d/11923uPwbBZFjjGgGUA6NLw09EwE0CqkOc4q9oUmW1yo/edit?usp=sharing"",""พิจิตร!M431"")"),0)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IFERROR(__xludf.DUMMYFUNCTION("IMPORTRANGE(""https://docs.google.com/spreadsheets/d/11923uPwbBZFjjGgGUA6NLw09EwE0CqkOc4q9oUmW1yo/edit?usp=sharing"",""พิจิตร!L432"")"),34340)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IFERROR(__xludf.DUMMYFUNCTION("IMPORTRANGE(""https://docs.google.com/spreadsheets/d/11923uPwbBZFjjGgGUA6NLw09EwE0CqkOc4q9oUmW1yo/edit?usp=sharing"",""พิจิตร!M432"")"),18181)</f>
        <v>18181</v>
      </c>
      <c r="O537" s="168">
        <f t="shared" ca="1" si="118"/>
        <v>52.944088526499712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IFERROR(__xludf.DUMMYFUNCTION("IMPORTRANGE(""https://docs.google.com/spreadsheets/d/11923uPwbBZFjjGgGUA6NLw09EwE0CqkOc4q9oUmW1yo/edit?usp=sharing"",""พิจิตร!M433"")"),17181)</f>
        <v>17181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IFERROR(__xludf.DUMMYFUNCTION("IMPORTRANGE(""https://docs.google.com/spreadsheets/d/11923uPwbBZFjjGgGUA6NLw09EwE0CqkOc4q9oUmW1yo/edit?usp=sharing"",""พิจิตร!M434"")"),0)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IFERROR(__xludf.DUMMYFUNCTION("IMPORTRANGE(""https://docs.google.com/spreadsheets/d/11923uPwbBZFjjGgGUA6NLw09EwE0CqkOc4q9oUmW1yo/edit?usp=sharing"",""พิจิตร!M435"")"),0)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IFERROR(__xludf.DUMMYFUNCTION("IMPORTRANGE(""https://docs.google.com/spreadsheets/d/11923uPwbBZFjjGgGUA6NLw09EwE0CqkOc4q9oUmW1yo/edit?usp=sharing"",""พิจิตร!M436"")"),1000)</f>
        <v>1000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IFERROR(__xludf.DUMMYFUNCTION("IMPORTRANGE(""https://docs.google.com/spreadsheets/d/11923uPwbBZFjjGgGUA6NLw09EwE0CqkOc4q9oUmW1yo/edit?usp=sharing"",""พิจิตร!J438"")"),0)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IFERROR(__xludf.DUMMYFUNCTION("IMPORTRANGE(""https://docs.google.com/spreadsheets/d/11923uPwbBZFjjGgGUA6NLw09EwE0CqkOc4q9oUmW1yo/edit?usp=sharing"",""พิจิตร!J439"")"),1)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IFERROR(__xludf.DUMMYFUNCTION("IMPORTRANGE(""https://docs.google.com/spreadsheets/d/11923uPwbBZFjjGgGUA6NLw09EwE0CqkOc4q9oUmW1yo/edit?usp=sharing"",""พิจิตร!J440"")"),1)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IFERROR(__xludf.DUMMYFUNCTION("IMPORTRANGE(""https://docs.google.com/spreadsheets/d/11923uPwbBZFjjGgGUA6NLw09EwE0CqkOc4q9oUmW1yo/edit?usp=sharing"",""พิจิตร!J441"")"),1)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IFERROR(__xludf.DUMMYFUNCTION("IMPORTRANGE(""https://docs.google.com/spreadsheets/d/11923uPwbBZFjjGgGUA6NLw09EwE0CqkOc4q9oUmW1yo/edit?usp=sharing"",""พิจิตร!I442"")"),22)</f>
        <v>22</v>
      </c>
      <c r="J547" s="188">
        <f ca="1">IFERROR(__xludf.DUMMYFUNCTION("IMPORTRANGE(""https://docs.google.com/spreadsheets/d/11923uPwbBZFjjGgGUA6NLw09EwE0CqkOc4q9oUmW1yo/edit?usp=sharing"",""พิจิตร!J442"")"),22)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IFERROR(__xludf.DUMMYFUNCTION("IMPORTRANGE(""https://docs.google.com/spreadsheets/d/11923uPwbBZFjjGgGUA6NLw09EwE0CqkOc4q9oUmW1yo/edit?usp=sharing"",""พิจิตร!J166"")"),0)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IFERROR(__xludf.DUMMYFUNCTION("IMPORTRANGE(""https://docs.google.com/spreadsheets/d/11923uPwbBZFjjGgGUA6NLw09EwE0CqkOc4q9oUmW1yo/edit?usp=sharing"",""พิจิตร!J444"")"),1)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IFERROR(__xludf.DUMMYFUNCTION("IMPORTRANGE(""https://docs.google.com/spreadsheets/d/11923uPwbBZFjjGgGUA6NLw09EwE0CqkOc4q9oUmW1yo/edit?usp=sharing"",""พิจิตร!J445"")"),0)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IFERROR(__xludf.DUMMYFUNCTION("IMPORTRANGE(""https://docs.google.com/spreadsheets/d/11923uPwbBZFjjGgGUA6NLw09EwE0CqkOc4q9oUmW1yo/edit?usp=sharing"",""พิจิตร!I446"")"),0)</f>
        <v>0</v>
      </c>
      <c r="J551" s="409">
        <f ca="1">IFERROR(__xludf.DUMMYFUNCTION("IMPORTRANGE(""https://docs.google.com/spreadsheets/d/11923uPwbBZFjjGgGUA6NLw09EwE0CqkOc4q9oUmW1yo/edit?usp=sharing"",""พิจิตร!J446"")"),0)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IFERROR(__xludf.DUMMYFUNCTION("IMPORTRANGE(""https://docs.google.com/spreadsheets/d/11923uPwbBZFjjGgGUA6NLw09EwE0CqkOc4q9oUmW1yo/edit?usp=sharing"",""พิจิตร!L446"")"),0)</f>
        <v>0</v>
      </c>
      <c r="M551" s="411"/>
      <c r="N551" s="411">
        <f ca="1">IFERROR(__xludf.DUMMYFUNCTION("IMPORTRANGE(""https://docs.google.com/spreadsheets/d/11923uPwbBZFjjGgGUA6NLw09EwE0CqkOc4q9oUmW1yo/edit?usp=sharing"",""พิจิตร!M446"")"),0)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IFERROR(__xludf.DUMMYFUNCTION("IMPORTRANGE(""https://docs.google.com/spreadsheets/d/11923uPwbBZFjjGgGUA6NLw09EwE0CqkOc4q9oUmW1yo/edit?usp=sharing"",""พิจิตร!L447"")"),0)</f>
        <v>0</v>
      </c>
      <c r="M552" s="164"/>
      <c r="N552" s="168">
        <f ca="1">IFERROR(__xludf.DUMMYFUNCTION("IMPORTRANGE(""https://docs.google.com/spreadsheets/d/11923uPwbBZFjjGgGUA6NLw09EwE0CqkOc4q9oUmW1yo/edit?usp=sharing"",""พิจิตร!M447"")"),0)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IFERROR(__xludf.DUMMYFUNCTION("IMPORTRANGE(""https://docs.google.com/spreadsheets/d/11923uPwbBZFjjGgGUA6NLw09EwE0CqkOc4q9oUmW1yo/edit?usp=sharing"",""พิจิตร!L448"")"),0)</f>
        <v>0</v>
      </c>
      <c r="M553" s="165"/>
      <c r="N553" s="168">
        <f ca="1">IFERROR(__xludf.DUMMYFUNCTION("IMPORTRANGE(""https://docs.google.com/spreadsheets/d/11923uPwbBZFjjGgGUA6NLw09EwE0CqkOc4q9oUmW1yo/edit?usp=sharing"",""พิจิตร!M448"")"),0)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IFERROR(__xludf.DUMMYFUNCTION("IMPORTRANGE(""https://docs.google.com/spreadsheets/d/11923uPwbBZFjjGgGUA6NLw09EwE0CqkOc4q9oUmW1yo/edit?usp=sharing"",""พิจิตร!L449"")"),0)</f>
        <v>0</v>
      </c>
      <c r="M554" s="168"/>
      <c r="N554" s="168">
        <f ca="1">IFERROR(__xludf.DUMMYFUNCTION("IMPORTRANGE(""https://docs.google.com/spreadsheets/d/11923uPwbBZFjjGgGUA6NLw09EwE0CqkOc4q9oUmW1yo/edit?usp=sharing"",""พิจิตร!M449"")"),0)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IFERROR(__xludf.DUMMYFUNCTION("IMPORTRANGE(""https://docs.google.com/spreadsheets/d/11923uPwbBZFjjGgGUA6NLw09EwE0CqkOc4q9oUmW1yo/edit?usp=sharing"",""พิจิตร!L450"")"),0)</f>
        <v>0</v>
      </c>
      <c r="M555" s="168"/>
      <c r="N555" s="168">
        <f ca="1">IFERROR(__xludf.DUMMYFUNCTION("IMPORTRANGE(""https://docs.google.com/spreadsheets/d/11923uPwbBZFjjGgGUA6NLw09EwE0CqkOc4q9oUmW1yo/edit?usp=sharing"",""พิจิตร!M450"")"),0)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IFERROR(__xludf.DUMMYFUNCTION("IMPORTRANGE(""https://docs.google.com/spreadsheets/d/11923uPwbBZFjjGgGUA6NLw09EwE0CqkOc4q9oUmW1yo/edit?usp=sharing"",""พิจิตร!M451"")"),0)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IFERROR(__xludf.DUMMYFUNCTION("IMPORTRANGE(""https://docs.google.com/spreadsheets/d/11923uPwbBZFjjGgGUA6NLw09EwE0CqkOc4q9oUmW1yo/edit?usp=sharing"",""พิจิตร!M452"")"),0)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IFERROR(__xludf.DUMMYFUNCTION("IMPORTRANGE(""https://docs.google.com/spreadsheets/d/11923uPwbBZFjjGgGUA6NLw09EwE0CqkOc4q9oUmW1yo/edit?usp=sharing"",""พิจิตร!M453"")"),0)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IFERROR(__xludf.DUMMYFUNCTION("IMPORTRANGE(""https://docs.google.com/spreadsheets/d/11923uPwbBZFjjGgGUA6NLw09EwE0CqkOc4q9oUmW1yo/edit?usp=sharing"",""พิจิตร!M454"")"),0)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IFERROR(__xludf.DUMMYFUNCTION("IMPORTRANGE(""https://docs.google.com/spreadsheets/d/11923uPwbBZFjjGgGUA6NLw09EwE0CqkOc4q9oUmW1yo/edit?usp=sharing"",""พิจิตร!I455"")"),0)</f>
        <v>0</v>
      </c>
      <c r="J560" s="162">
        <f ca="1">IFERROR(__xludf.DUMMYFUNCTION("IMPORTRANGE(""https://docs.google.com/spreadsheets/d/11923uPwbBZFjjGgGUA6NLw09EwE0CqkOc4q9oUmW1yo/edit?usp=sharing"",""พิจิตร!J455"")"),0)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IFERROR(__xludf.DUMMYFUNCTION("IMPORTRANGE(""https://docs.google.com/spreadsheets/d/11923uPwbBZFjjGgGUA6NLw09EwE0CqkOc4q9oUmW1yo/edit?usp=sharing"",""พิจิตร!I456"")"),0)</f>
        <v>0</v>
      </c>
      <c r="J561" s="203">
        <f ca="1">IFERROR(__xludf.DUMMYFUNCTION("IMPORTRANGE(""https://docs.google.com/spreadsheets/d/11923uPwbBZFjjGgGUA6NLw09EwE0CqkOc4q9oUmW1yo/edit?usp=sharing"",""พิจิตร!J456"")"),0)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IFERROR(__xludf.DUMMYFUNCTION("IMPORTRANGE(""https://docs.google.com/spreadsheets/d/11923uPwbBZFjjGgGUA6NLw09EwE0CqkOc4q9oUmW1yo/edit?usp=sharing"",""พิจิตร!I459"")"),1100)</f>
        <v>1100</v>
      </c>
      <c r="J564" s="370">
        <f ca="1">IFERROR(__xludf.DUMMYFUNCTION("IMPORTRANGE(""https://docs.google.com/spreadsheets/d/11923uPwbBZFjjGgGUA6NLw09EwE0CqkOc4q9oUmW1yo/edit?usp=sharing"",""พิจิตร!J459"")"),1031)</f>
        <v>1031</v>
      </c>
      <c r="K564" s="371">
        <f ca="1">IF(I564&gt;0,J564*100/I564,0)</f>
        <v>93.727272727272734</v>
      </c>
      <c r="L564" s="372">
        <f ca="1">IFERROR(__xludf.DUMMYFUNCTION("IMPORTRANGE(""https://docs.google.com/spreadsheets/d/11923uPwbBZFjjGgGUA6NLw09EwE0CqkOc4q9oUmW1yo/edit?usp=sharing"",""พิจิตร!L459"")"),126080)</f>
        <v>126080</v>
      </c>
      <c r="M564" s="372"/>
      <c r="N564" s="372">
        <f ca="1">IFERROR(__xludf.DUMMYFUNCTION("IMPORTRANGE(""https://docs.google.com/spreadsheets/d/11923uPwbBZFjjGgGUA6NLw09EwE0CqkOc4q9oUmW1yo/edit?usp=sharing"",""พิจิตร!M459"")"),76766.19)</f>
        <v>76766.19</v>
      </c>
      <c r="O564" s="372">
        <f t="shared" ref="O564:O568" ca="1" si="122">+IF(L564&gt;0,N564*100/L564,0)</f>
        <v>60.886889276649747</v>
      </c>
      <c r="P564" s="372"/>
    </row>
    <row r="565" spans="1:16" ht="21.75" customHeight="1" x14ac:dyDescent="0.3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IFERROR(__xludf.DUMMYFUNCTION("IMPORTRANGE(""https://docs.google.com/spreadsheets/d/11923uPwbBZFjjGgGUA6NLw09EwE0CqkOc4q9oUmW1yo/edit?usp=sharing"",""พิจิตร!L460"")"),0)</f>
        <v>0</v>
      </c>
      <c r="M565" s="164"/>
      <c r="N565" s="168">
        <f ca="1">IFERROR(__xludf.DUMMYFUNCTION("IMPORTRANGE(""https://docs.google.com/spreadsheets/d/11923uPwbBZFjjGgGUA6NLw09EwE0CqkOc4q9oUmW1yo/edit?usp=sharing"",""พิจิตร!M460"")"),0)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IFERROR(__xludf.DUMMYFUNCTION("IMPORTRANGE(""https://docs.google.com/spreadsheets/d/11923uPwbBZFjjGgGUA6NLw09EwE0CqkOc4q9oUmW1yo/edit?usp=sharing"",""พิจิตร!L461"")"),126080)</f>
        <v>126080</v>
      </c>
      <c r="M566" s="165"/>
      <c r="N566" s="168">
        <f ca="1">IFERROR(__xludf.DUMMYFUNCTION("IMPORTRANGE(""https://docs.google.com/spreadsheets/d/11923uPwbBZFjjGgGUA6NLw09EwE0CqkOc4q9oUmW1yo/edit?usp=sharing"",""พิจิตร!M461"")"),76766.19)</f>
        <v>76766.19</v>
      </c>
      <c r="O566" s="168">
        <f t="shared" ca="1" si="122"/>
        <v>60.886889276649747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IFERROR(__xludf.DUMMYFUNCTION("IMPORTRANGE(""https://docs.google.com/spreadsheets/d/11923uPwbBZFjjGgGUA6NLw09EwE0CqkOc4q9oUmW1yo/edit?usp=sharing"",""พิจิตร!L462"")"),0)</f>
        <v>0</v>
      </c>
      <c r="M567" s="168"/>
      <c r="N567" s="168">
        <f ca="1">IFERROR(__xludf.DUMMYFUNCTION("IMPORTRANGE(""https://docs.google.com/spreadsheets/d/11923uPwbBZFjjGgGUA6NLw09EwE0CqkOc4q9oUmW1yo/edit?usp=sharing"",""พิจิตร!M462"")"),0)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IFERROR(__xludf.DUMMYFUNCTION("IMPORTRANGE(""https://docs.google.com/spreadsheets/d/11923uPwbBZFjjGgGUA6NLw09EwE0CqkOc4q9oUmW1yo/edit?usp=sharing"",""พิจิตร!L463"")"),126080)</f>
        <v>126080</v>
      </c>
      <c r="M568" s="168"/>
      <c r="N568" s="168">
        <f ca="1">IFERROR(__xludf.DUMMYFUNCTION("IMPORTRANGE(""https://docs.google.com/spreadsheets/d/11923uPwbBZFjjGgGUA6NLw09EwE0CqkOc4q9oUmW1yo/edit?usp=sharing"",""พิจิตร!M463"")"),76766.19)</f>
        <v>76766.19</v>
      </c>
      <c r="O568" s="168">
        <f t="shared" ca="1" si="122"/>
        <v>60.886889276649747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IFERROR(__xludf.DUMMYFUNCTION("IMPORTRANGE(""https://docs.google.com/spreadsheets/d/11923uPwbBZFjjGgGUA6NLw09EwE0CqkOc4q9oUmW1yo/edit?usp=sharing"",""พิจิตร!M464"")"),0)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IFERROR(__xludf.DUMMYFUNCTION("IMPORTRANGE(""https://docs.google.com/spreadsheets/d/11923uPwbBZFjjGgGUA6NLw09EwE0CqkOc4q9oUmW1yo/edit?usp=sharing"",""พิจิตร!M465"")"),0)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IFERROR(__xludf.DUMMYFUNCTION("IMPORTRANGE(""https://docs.google.com/spreadsheets/d/11923uPwbBZFjjGgGUA6NLw09EwE0CqkOc4q9oUmW1yo/edit?usp=sharing"",""พิจิตร!M466"")"),68330.19)</f>
        <v>68330.19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IFERROR(__xludf.DUMMYFUNCTION("IMPORTRANGE(""https://docs.google.com/spreadsheets/d/11923uPwbBZFjjGgGUA6NLw09EwE0CqkOc4q9oUmW1yo/edit?usp=sharing"",""พิจิตร!M467"")"),8436)</f>
        <v>8436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IFERROR(__xludf.DUMMYFUNCTION("IMPORTRANGE(""https://docs.google.com/spreadsheets/d/11923uPwbBZFjjGgGUA6NLw09EwE0CqkOc4q9oUmW1yo/edit?usp=sharing"",""พิจิตร!I468"")"),1100)</f>
        <v>1100</v>
      </c>
      <c r="J573" s="420">
        <f ca="1">IFERROR(__xludf.DUMMYFUNCTION("IMPORTRANGE(""https://docs.google.com/spreadsheets/d/11923uPwbBZFjjGgGUA6NLw09EwE0CqkOc4q9oUmW1yo/edit?usp=sharing"",""พิจิตร!J468"")"),1031)</f>
        <v>1031</v>
      </c>
      <c r="K573" s="201">
        <f ca="1">IF(I573&gt;0,J573*100/I573,0)</f>
        <v>93.727272727272734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IFERROR(__xludf.DUMMYFUNCTION("IMPORTRANGE(""https://docs.google.com/spreadsheets/d/11923uPwbBZFjjGgGUA6NLw09EwE0CqkOc4q9oUmW1yo/edit?usp=sharing"",""พิจิตร!I470"")"),0)</f>
        <v>0</v>
      </c>
      <c r="J575" s="197">
        <f ca="1">IFERROR(__xludf.DUMMYFUNCTION("IMPORTRANGE(""https://docs.google.com/spreadsheets/d/11923uPwbBZFjjGgGUA6NLw09EwE0CqkOc4q9oUmW1yo/edit?usp=sharing"",""พิจิตร!J470"")"),7)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IFERROR(__xludf.DUMMYFUNCTION("IMPORTRANGE(""https://docs.google.com/spreadsheets/d/11923uPwbBZFjjGgGUA6NLw09EwE0CqkOc4q9oUmW1yo/edit?usp=sharing"",""พิจิตร!I471"")"),0)</f>
        <v>0</v>
      </c>
      <c r="J576" s="197">
        <f ca="1">IFERROR(__xludf.DUMMYFUNCTION("IMPORTRANGE(""https://docs.google.com/spreadsheets/d/11923uPwbBZFjjGgGUA6NLw09EwE0CqkOc4q9oUmW1yo/edit?usp=sharing"",""พิจิตร!J471"")"),191)</f>
        <v>191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IFERROR(__xludf.DUMMYFUNCTION("IMPORTRANGE(""https://docs.google.com/spreadsheets/d/11923uPwbBZFjjGgGUA6NLw09EwE0CqkOc4q9oUmW1yo/edit?usp=sharing"",""พิจิตร!I472"")"),0)</f>
        <v>0</v>
      </c>
      <c r="J577" s="188">
        <f ca="1">IFERROR(__xludf.DUMMYFUNCTION("IMPORTRANGE(""https://docs.google.com/spreadsheets/d/11923uPwbBZFjjGgGUA6NLw09EwE0CqkOc4q9oUmW1yo/edit?usp=sharing"",""พิจิตร!J472"")"),840)</f>
        <v>840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IFERROR(__xludf.DUMMYFUNCTION("IMPORTRANGE(""https://docs.google.com/spreadsheets/d/11923uPwbBZFjjGgGUA6NLw09EwE0CqkOc4q9oUmW1yo/edit?usp=sharing"",""พิจิตร!I473"")"),0)</f>
        <v>0</v>
      </c>
      <c r="J578" s="197">
        <f ca="1">IFERROR(__xludf.DUMMYFUNCTION("IMPORTRANGE(""https://docs.google.com/spreadsheets/d/11923uPwbBZFjjGgGUA6NLw09EwE0CqkOc4q9oUmW1yo/edit?usp=sharing"",""พิจิตร!J473"")"),0)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IFERROR(__xludf.DUMMYFUNCTION("IMPORTRANGE(""https://docs.google.com/spreadsheets/d/11923uPwbBZFjjGgGUA6NLw09EwE0CqkOc4q9oUmW1yo/edit?usp=sharing"",""พิจิตร!I474"")"),0)</f>
        <v>0</v>
      </c>
      <c r="J579" s="197">
        <f ca="1">IFERROR(__xludf.DUMMYFUNCTION("IMPORTRANGE(""https://docs.google.com/spreadsheets/d/11923uPwbBZFjjGgGUA6NLw09EwE0CqkOc4q9oUmW1yo/edit?usp=sharing"",""พิจิตร!J474"")"),0)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IFERROR(__xludf.DUMMYFUNCTION("IMPORTRANGE(""https://docs.google.com/spreadsheets/d/11923uPwbBZFjjGgGUA6NLw09EwE0CqkOc4q9oUmW1yo/edit?usp=sharing"",""พิจิตร!I475"")"),200)</f>
        <v>200</v>
      </c>
      <c r="J580" s="370">
        <f ca="1">IFERROR(__xludf.DUMMYFUNCTION("IMPORTRANGE(""https://docs.google.com/spreadsheets/d/11923uPwbBZFjjGgGUA6NLw09EwE0CqkOc4q9oUmW1yo/edit?usp=sharing"",""พิจิตร!J475"")"),21)</f>
        <v>21</v>
      </c>
      <c r="K580" s="371">
        <f ca="1">IF(I580&gt;0,J580*100/I580,0)</f>
        <v>10.5</v>
      </c>
      <c r="L580" s="372">
        <f ca="1">IFERROR(__xludf.DUMMYFUNCTION("IMPORTRANGE(""https://docs.google.com/spreadsheets/d/11923uPwbBZFjjGgGUA6NLw09EwE0CqkOc4q9oUmW1yo/edit?usp=sharing"",""พิจิตร!L475"")"),352400)</f>
        <v>352400</v>
      </c>
      <c r="M580" s="372"/>
      <c r="N580" s="372">
        <f ca="1">IFERROR(__xludf.DUMMYFUNCTION("IMPORTRANGE(""https://docs.google.com/spreadsheets/d/11923uPwbBZFjjGgGUA6NLw09EwE0CqkOc4q9oUmW1yo/edit?usp=sharing"",""พิจิตร!M475"")"),175949.64)</f>
        <v>175949.64</v>
      </c>
      <c r="O580" s="372">
        <f t="shared" ref="O580:O584" ca="1" si="124">+IF(L580&gt;0,N580*100/L580,0)</f>
        <v>49.928955732122589</v>
      </c>
      <c r="P580" s="372"/>
    </row>
    <row r="581" spans="1:16" ht="21.75" customHeight="1" x14ac:dyDescent="0.3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IFERROR(__xludf.DUMMYFUNCTION("IMPORTRANGE(""https://docs.google.com/spreadsheets/d/11923uPwbBZFjjGgGUA6NLw09EwE0CqkOc4q9oUmW1yo/edit?usp=sharing"",""พิจิตร!L476"")"),0)</f>
        <v>0</v>
      </c>
      <c r="M581" s="164"/>
      <c r="N581" s="168">
        <f ca="1">IFERROR(__xludf.DUMMYFUNCTION("IMPORTRANGE(""https://docs.google.com/spreadsheets/d/11923uPwbBZFjjGgGUA6NLw09EwE0CqkOc4q9oUmW1yo/edit?usp=sharing"",""พิจิตร!M476"")"),0)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IFERROR(__xludf.DUMMYFUNCTION("IMPORTRANGE(""https://docs.google.com/spreadsheets/d/11923uPwbBZFjjGgGUA6NLw09EwE0CqkOc4q9oUmW1yo/edit?usp=sharing"",""พิจิตร!L477"")"),352400)</f>
        <v>352400</v>
      </c>
      <c r="M582" s="165"/>
      <c r="N582" s="168">
        <f ca="1">IFERROR(__xludf.DUMMYFUNCTION("IMPORTRANGE(""https://docs.google.com/spreadsheets/d/11923uPwbBZFjjGgGUA6NLw09EwE0CqkOc4q9oUmW1yo/edit?usp=sharing"",""พิจิตร!M477"")"),175949.64)</f>
        <v>175949.64</v>
      </c>
      <c r="O582" s="168">
        <f t="shared" ca="1" si="124"/>
        <v>49.928955732122589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IFERROR(__xludf.DUMMYFUNCTION("IMPORTRANGE(""https://docs.google.com/spreadsheets/d/11923uPwbBZFjjGgGUA6NLw09EwE0CqkOc4q9oUmW1yo/edit?usp=sharing"",""พิจิตร!L478"")"),0)</f>
        <v>0</v>
      </c>
      <c r="M583" s="168"/>
      <c r="N583" s="168">
        <f ca="1">IFERROR(__xludf.DUMMYFUNCTION("IMPORTRANGE(""https://docs.google.com/spreadsheets/d/11923uPwbBZFjjGgGUA6NLw09EwE0CqkOc4q9oUmW1yo/edit?usp=sharing"",""พิจิตร!M478"")"),0)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IFERROR(__xludf.DUMMYFUNCTION("IMPORTRANGE(""https://docs.google.com/spreadsheets/d/11923uPwbBZFjjGgGUA6NLw09EwE0CqkOc4q9oUmW1yo/edit?usp=sharing"",""พิจิตร!L479"")"),352400)</f>
        <v>352400</v>
      </c>
      <c r="M584" s="168"/>
      <c r="N584" s="168">
        <f ca="1">IFERROR(__xludf.DUMMYFUNCTION("IMPORTRANGE(""https://docs.google.com/spreadsheets/d/11923uPwbBZFjjGgGUA6NLw09EwE0CqkOc4q9oUmW1yo/edit?usp=sharing"",""พิจิตร!M479"")"),175949.64)</f>
        <v>175949.64</v>
      </c>
      <c r="O584" s="168">
        <f t="shared" ca="1" si="124"/>
        <v>49.928955732122589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IFERROR(__xludf.DUMMYFUNCTION("IMPORTRANGE(""https://docs.google.com/spreadsheets/d/11923uPwbBZFjjGgGUA6NLw09EwE0CqkOc4q9oUmW1yo/edit?usp=sharing"",""พิจิตร!M480"")"),0)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IFERROR(__xludf.DUMMYFUNCTION("IMPORTRANGE(""https://docs.google.com/spreadsheets/d/11923uPwbBZFjjGgGUA6NLw09EwE0CqkOc4q9oUmW1yo/edit?usp=sharing"",""พิจิตร!M481"")"),0)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IFERROR(__xludf.DUMMYFUNCTION("IMPORTRANGE(""https://docs.google.com/spreadsheets/d/11923uPwbBZFjjGgGUA6NLw09EwE0CqkOc4q9oUmW1yo/edit?usp=sharing"",""พิจิตร!M482"")"),69465.59)</f>
        <v>69465.59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IFERROR(__xludf.DUMMYFUNCTION("IMPORTRANGE(""https://docs.google.com/spreadsheets/d/11923uPwbBZFjjGgGUA6NLw09EwE0CqkOc4q9oUmW1yo/edit?usp=sharing"",""พิจิตร!M483"")"),106484.05)</f>
        <v>106484.05</v>
      </c>
      <c r="O588" s="168"/>
      <c r="P588" s="168"/>
    </row>
    <row r="589" spans="1:16" ht="21.75" customHeight="1" x14ac:dyDescent="0.3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IFERROR(__xludf.DUMMYFUNCTION("IMPORTRANGE(""https://docs.google.com/spreadsheets/d/11923uPwbBZFjjGgGUA6NLw09EwE0CqkOc4q9oUmW1yo/edit?usp=sharing"",""พิจิตร!I484"")"),200)</f>
        <v>200</v>
      </c>
      <c r="J589" s="187">
        <f ca="1">IFERROR(__xludf.DUMMYFUNCTION("IMPORTRANGE(""https://docs.google.com/spreadsheets/d/11923uPwbBZFjjGgGUA6NLw09EwE0CqkOc4q9oUmW1yo/edit?usp=sharing"",""พิจิตร!J484"")"),167)</f>
        <v>167</v>
      </c>
      <c r="K589" s="163">
        <f t="shared" ref="K589:K596" ca="1" si="125">IF(I589&gt;0,J589*100/I589,0)</f>
        <v>83.5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IFERROR(__xludf.DUMMYFUNCTION("IMPORTRANGE(""https://docs.google.com/spreadsheets/d/11923uPwbBZFjjGgGUA6NLw09EwE0CqkOc4q9oUmW1yo/edit?usp=sharing"",""พิจิตร!I485"")"),0)</f>
        <v>0</v>
      </c>
      <c r="J590" s="187">
        <f ca="1">IFERROR(__xludf.DUMMYFUNCTION("IMPORTRANGE(""https://docs.google.com/spreadsheets/d/11923uPwbBZFjjGgGUA6NLw09EwE0CqkOc4q9oUmW1yo/edit?usp=sharing"",""พิจิตร!J485"")"),102.56)</f>
        <v>102.56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IFERROR(__xludf.DUMMYFUNCTION("IMPORTRANGE(""https://docs.google.com/spreadsheets/d/11923uPwbBZFjjGgGUA6NLw09EwE0CqkOc4q9oUmW1yo/edit?usp=sharing"",""พิจิตร!I486"")"),200)</f>
        <v>200</v>
      </c>
      <c r="J591" s="187">
        <f ca="1">IFERROR(__xludf.DUMMYFUNCTION("IMPORTRANGE(""https://docs.google.com/spreadsheets/d/11923uPwbBZFjjGgGUA6NLw09EwE0CqkOc4q9oUmW1yo/edit?usp=sharing"",""พิจิตร!J486"")"),44)</f>
        <v>44</v>
      </c>
      <c r="K591" s="163">
        <f t="shared" ca="1" si="125"/>
        <v>22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IFERROR(__xludf.DUMMYFUNCTION("IMPORTRANGE(""https://docs.google.com/spreadsheets/d/11923uPwbBZFjjGgGUA6NLw09EwE0CqkOc4q9oUmW1yo/edit?usp=sharing"",""พิจิตร!I487"")"),0)</f>
        <v>0</v>
      </c>
      <c r="J592" s="187">
        <f ca="1">IFERROR(__xludf.DUMMYFUNCTION("IMPORTRANGE(""https://docs.google.com/spreadsheets/d/11923uPwbBZFjjGgGUA6NLw09EwE0CqkOc4q9oUmW1yo/edit?usp=sharing"",""พิจิตร!J487"")"),31)</f>
        <v>31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IFERROR(__xludf.DUMMYFUNCTION("IMPORTRANGE(""https://docs.google.com/spreadsheets/d/11923uPwbBZFjjGgGUA6NLw09EwE0CqkOc4q9oUmW1yo/edit?usp=sharing"",""พิจิตร!I488"")"),200)</f>
        <v>200</v>
      </c>
      <c r="J593" s="187">
        <f ca="1">IFERROR(__xludf.DUMMYFUNCTION("IMPORTRANGE(""https://docs.google.com/spreadsheets/d/11923uPwbBZFjjGgGUA6NLw09EwE0CqkOc4q9oUmW1yo/edit?usp=sharing"",""พิจิตร!J488"")"),0)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IFERROR(__xludf.DUMMYFUNCTION("IMPORTRANGE(""https://docs.google.com/spreadsheets/d/11923uPwbBZFjjGgGUA6NLw09EwE0CqkOc4q9oUmW1yo/edit?usp=sharing"",""พิจิตร!I489"")"),0)</f>
        <v>0</v>
      </c>
      <c r="J594" s="187">
        <f ca="1">IFERROR(__xludf.DUMMYFUNCTION("IMPORTRANGE(""https://docs.google.com/spreadsheets/d/11923uPwbBZFjjGgGUA6NLw09EwE0CqkOc4q9oUmW1yo/edit?usp=sharing"",""พิจิตร!J489"")"),0)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IFERROR(__xludf.DUMMYFUNCTION("IMPORTRANGE(""https://docs.google.com/spreadsheets/d/11923uPwbBZFjjGgGUA6NLw09EwE0CqkOc4q9oUmW1yo/edit?usp=sharing"",""พิจิตร!I490"")"),200)</f>
        <v>200</v>
      </c>
      <c r="J595" s="187">
        <f ca="1">IFERROR(__xludf.DUMMYFUNCTION("IMPORTRANGE(""https://docs.google.com/spreadsheets/d/11923uPwbBZFjjGgGUA6NLw09EwE0CqkOc4q9oUmW1yo/edit?usp=sharing"",""พิจิตร!J490"")"),21)</f>
        <v>21</v>
      </c>
      <c r="K595" s="163">
        <f t="shared" ca="1" si="125"/>
        <v>10.5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IFERROR(__xludf.DUMMYFUNCTION("IMPORTRANGE(""https://docs.google.com/spreadsheets/d/11923uPwbBZFjjGgGUA6NLw09EwE0CqkOc4q9oUmW1yo/edit?usp=sharing"",""พิจิตร!I491"")"),0)</f>
        <v>0</v>
      </c>
      <c r="J596" s="241">
        <f ca="1">IFERROR(__xludf.DUMMYFUNCTION("IMPORTRANGE(""https://docs.google.com/spreadsheets/d/11923uPwbBZFjjGgGUA6NLw09EwE0CqkOc4q9oUmW1yo/edit?usp=sharing"",""พิจิตร!J491"")"),15.26)</f>
        <v>15.26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IFERROR(__xludf.DUMMYFUNCTION("IMPORTRANGE(""https://docs.google.com/spreadsheets/d/11923uPwbBZFjjGgGUA6NLw09EwE0CqkOc4q9oUmW1yo/edit?usp=sharing"",""พิจิตร!I492"")"),50)</f>
        <v>50</v>
      </c>
      <c r="J597" s="487">
        <f ca="1">IFERROR(__xludf.DUMMYFUNCTION("IMPORTRANGE(""https://docs.google.com/spreadsheets/d/11923uPwbBZFjjGgGUA6NLw09EwE0CqkOc4q9oUmW1yo/edit?usp=sharing"",""พิจิตร!J492"")"),0)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IFERROR(__xludf.DUMMYFUNCTION("IMPORTRANGE(""https://docs.google.com/spreadsheets/d/11923uPwbBZFjjGgGUA6NLw09EwE0CqkOc4q9oUmW1yo/edit?usp=sharing"",""พิจิตร!L492"")"),4550)</f>
        <v>4550</v>
      </c>
      <c r="M597" s="411"/>
      <c r="N597" s="411">
        <f ca="1">IFERROR(__xludf.DUMMYFUNCTION("IMPORTRANGE(""https://docs.google.com/spreadsheets/d/11923uPwbBZFjjGgGUA6NLw09EwE0CqkOc4q9oUmW1yo/edit?usp=sharing"",""พิจิตร!M492"")"),1794)</f>
        <v>1794</v>
      </c>
      <c r="O597" s="411">
        <f t="shared" ref="O597:O601" ca="1" si="126">+IF(L597&gt;0,N597*100/L597,0)</f>
        <v>39.428571428571431</v>
      </c>
      <c r="P597" s="411"/>
    </row>
    <row r="598" spans="1:16" ht="21.75" customHeight="1" x14ac:dyDescent="0.3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IFERROR(__xludf.DUMMYFUNCTION("IMPORTRANGE(""https://docs.google.com/spreadsheets/d/11923uPwbBZFjjGgGUA6NLw09EwE0CqkOc4q9oUmW1yo/edit?usp=sharing"",""พิจิตร!L493"")"),0)</f>
        <v>0</v>
      </c>
      <c r="M598" s="164"/>
      <c r="N598" s="168">
        <f ca="1">IFERROR(__xludf.DUMMYFUNCTION("IMPORTRANGE(""https://docs.google.com/spreadsheets/d/11923uPwbBZFjjGgGUA6NLw09EwE0CqkOc4q9oUmW1yo/edit?usp=sharing"",""พิจิตร!M493"")"),0)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IFERROR(__xludf.DUMMYFUNCTION("IMPORTRANGE(""https://docs.google.com/spreadsheets/d/11923uPwbBZFjjGgGUA6NLw09EwE0CqkOc4q9oUmW1yo/edit?usp=sharing"",""พิจิตร!L494"")"),4550)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IFERROR(__xludf.DUMMYFUNCTION("IMPORTRANGE(""https://docs.google.com/spreadsheets/d/11923uPwbBZFjjGgGUA6NLw09EwE0CqkOc4q9oUmW1yo/edit?usp=sharing"",""พิจิตร!M494"")"),1794)</f>
        <v>1794</v>
      </c>
      <c r="O599" s="168">
        <f t="shared" ca="1" si="126"/>
        <v>39.428571428571431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IFERROR(__xludf.DUMMYFUNCTION("IMPORTRANGE(""https://docs.google.com/spreadsheets/d/11923uPwbBZFjjGgGUA6NLw09EwE0CqkOc4q9oUmW1yo/edit?usp=sharing"",""พิจิตร!L495"")"),0)</f>
        <v>0</v>
      </c>
      <c r="M600" s="168"/>
      <c r="N600" s="168">
        <f ca="1">IFERROR(__xludf.DUMMYFUNCTION("IMPORTRANGE(""https://docs.google.com/spreadsheets/d/11923uPwbBZFjjGgGUA6NLw09EwE0CqkOc4q9oUmW1yo/edit?usp=sharing"",""พิจิตร!M495"")"),0)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IFERROR(__xludf.DUMMYFUNCTION("IMPORTRANGE(""https://docs.google.com/spreadsheets/d/11923uPwbBZFjjGgGUA6NLw09EwE0CqkOc4q9oUmW1yo/edit?usp=sharing"",""พิจิตร!L496"")"),4550)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IFERROR(__xludf.DUMMYFUNCTION("IMPORTRANGE(""https://docs.google.com/spreadsheets/d/11923uPwbBZFjjGgGUA6NLw09EwE0CqkOc4q9oUmW1yo/edit?usp=sharing"",""พิจิตร!M496"")"),1794)</f>
        <v>1794</v>
      </c>
      <c r="O601" s="168">
        <f t="shared" ca="1" si="126"/>
        <v>39.428571428571431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IFERROR(__xludf.DUMMYFUNCTION("IMPORTRANGE(""https://docs.google.com/spreadsheets/d/11923uPwbBZFjjGgGUA6NLw09EwE0CqkOc4q9oUmW1yo/edit?usp=sharing"",""พิจิตร!M497"")"),0)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IFERROR(__xludf.DUMMYFUNCTION("IMPORTRANGE(""https://docs.google.com/spreadsheets/d/11923uPwbBZFjjGgGUA6NLw09EwE0CqkOc4q9oUmW1yo/edit?usp=sharing"",""พิจิตร!M498"")"),0)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IFERROR(__xludf.DUMMYFUNCTION("IMPORTRANGE(""https://docs.google.com/spreadsheets/d/11923uPwbBZFjjGgGUA6NLw09EwE0CqkOc4q9oUmW1yo/edit?usp=sharing"",""พิจิตร!M499"")"),0)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IFERROR(__xludf.DUMMYFUNCTION("IMPORTRANGE(""https://docs.google.com/spreadsheets/d/11923uPwbBZFjjGgGUA6NLw09EwE0CqkOc4q9oUmW1yo/edit?usp=sharing"",""พิจิตร!M500"")"),1794)</f>
        <v>1794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IFERROR(__xludf.DUMMYFUNCTION("IMPORTRANGE(""https://docs.google.com/spreadsheets/d/11923uPwbBZFjjGgGUA6NLw09EwE0CqkOc4q9oUmW1yo/edit?usp=sharing"",""พิจิตร!J502"")"),0)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IFERROR(__xludf.DUMMYFUNCTION("IMPORTRANGE(""https://docs.google.com/spreadsheets/d/11923uPwbBZFjjGgGUA6NLw09EwE0CqkOc4q9oUmW1yo/edit?usp=sharing"",""พิจิตร!J503"")"),1)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IFERROR(__xludf.DUMMYFUNCTION("IMPORTRANGE(""https://docs.google.com/spreadsheets/d/11923uPwbBZFjjGgGUA6NLw09EwE0CqkOc4q9oUmW1yo/edit?usp=sharing"",""พิจิตร!J166"")"),0)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IFERROR(__xludf.DUMMYFUNCTION("IMPORTRANGE(""https://docs.google.com/spreadsheets/d/11923uPwbBZFjjGgGUA6NLw09EwE0CqkOc4q9oUmW1yo/edit?usp=sharing"",""พิจิตร!J166"")"),0)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IFERROR(__xludf.DUMMYFUNCTION("IMPORTRANGE(""https://docs.google.com/spreadsheets/d/11923uPwbBZFjjGgGUA6NLw09EwE0CqkOc4q9oUmW1yo/edit?usp=sharing"",""พิจิตร!I506"")"),50)</f>
        <v>50</v>
      </c>
      <c r="J611" s="162">
        <f ca="1">IFERROR(__xludf.DUMMYFUNCTION("IMPORTRANGE(""https://docs.google.com/spreadsheets/d/11923uPwbBZFjjGgGUA6NLw09EwE0CqkOc4q9oUmW1yo/edit?usp=sharing"",""พิจิตร!J506"")"),0)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IFERROR(__xludf.DUMMYFUNCTION("IMPORTRANGE(""https://docs.google.com/spreadsheets/d/11923uPwbBZFjjGgGUA6NLw09EwE0CqkOc4q9oUmW1yo/edit?usp=sharing"",""พิจิตร!I507"")"),0)</f>
        <v>0</v>
      </c>
      <c r="J612" s="197">
        <f ca="1">IFERROR(__xludf.DUMMYFUNCTION("IMPORTRANGE(""https://docs.google.com/spreadsheets/d/11923uPwbBZFjjGgGUA6NLw09EwE0CqkOc4q9oUmW1yo/edit?usp=sharing"",""พิจิตร!J507"")"),0)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IFERROR(__xludf.DUMMYFUNCTION("IMPORTRANGE(""https://docs.google.com/spreadsheets/d/11923uPwbBZFjjGgGUA6NLw09EwE0CqkOc4q9oUmW1yo/edit?usp=sharing"",""พิจิตร!I508"")"),0)</f>
        <v>0</v>
      </c>
      <c r="J613" s="197">
        <f ca="1">IFERROR(__xludf.DUMMYFUNCTION("IMPORTRANGE(""https://docs.google.com/spreadsheets/d/11923uPwbBZFjjGgGUA6NLw09EwE0CqkOc4q9oUmW1yo/edit?usp=sharing"",""พิจิตร!J508"")"),0)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IFERROR(__xludf.DUMMYFUNCTION("IMPORTRANGE(""https://docs.google.com/spreadsheets/d/11923uPwbBZFjjGgGUA6NLw09EwE0CqkOc4q9oUmW1yo/edit?usp=sharing"",""พิจิตร!I509"")"),0)</f>
        <v>0</v>
      </c>
      <c r="J614" s="197">
        <f ca="1">IFERROR(__xludf.DUMMYFUNCTION("IMPORTRANGE(""https://docs.google.com/spreadsheets/d/11923uPwbBZFjjGgGUA6NLw09EwE0CqkOc4q9oUmW1yo/edit?usp=sharing"",""พิจิตร!J509"")"),0)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IFERROR(__xludf.DUMMYFUNCTION("IMPORTRANGE(""https://docs.google.com/spreadsheets/d/11923uPwbBZFjjGgGUA6NLw09EwE0CqkOc4q9oUmW1yo/edit?usp=sharing"",""พิจิตร!I510"")"),0)</f>
        <v>0</v>
      </c>
      <c r="J615" s="197">
        <f ca="1">IFERROR(__xludf.DUMMYFUNCTION("IMPORTRANGE(""https://docs.google.com/spreadsheets/d/11923uPwbBZFjjGgGUA6NLw09EwE0CqkOc4q9oUmW1yo/edit?usp=sharing"",""พิจิตร!J510"")"),0)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IFERROR(__xludf.DUMMYFUNCTION("IMPORTRANGE(""https://docs.google.com/spreadsheets/d/11923uPwbBZFjjGgGUA6NLw09EwE0CqkOc4q9oUmW1yo/edit?usp=sharing"",""พิจิตร!I511"")"),0)</f>
        <v>0</v>
      </c>
      <c r="J616" s="197">
        <f ca="1">IFERROR(__xludf.DUMMYFUNCTION("IMPORTRANGE(""https://docs.google.com/spreadsheets/d/11923uPwbBZFjjGgGUA6NLw09EwE0CqkOc4q9oUmW1yo/edit?usp=sharing"",""พิจิตร!J511"")"),0)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IFERROR(__xludf.DUMMYFUNCTION("IMPORTRANGE(""https://docs.google.com/spreadsheets/d/11923uPwbBZFjjGgGUA6NLw09EwE0CqkOc4q9oUmW1yo/edit?usp=sharing"",""พิจิตร!I512"")"),0)</f>
        <v>0</v>
      </c>
      <c r="J617" s="187">
        <f ca="1">IFERROR(__xludf.DUMMYFUNCTION("IMPORTRANGE(""https://docs.google.com/spreadsheets/d/11923uPwbBZFjjGgGUA6NLw09EwE0CqkOc4q9oUmW1yo/edit?usp=sharing"",""พิจิตร!J512"")"),0)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IFERROR(__xludf.DUMMYFUNCTION("IMPORTRANGE(""https://docs.google.com/spreadsheets/d/11923uPwbBZFjjGgGUA6NLw09EwE0CqkOc4q9oUmW1yo/edit?usp=sharing"",""พิจิตร!I513"")"),0)</f>
        <v>0</v>
      </c>
      <c r="J618" s="188">
        <f ca="1">IFERROR(__xludf.DUMMYFUNCTION("IMPORTRANGE(""https://docs.google.com/spreadsheets/d/11923uPwbBZFjjGgGUA6NLw09EwE0CqkOc4q9oUmW1yo/edit?usp=sharing"",""พิจิตร!J513"")"),0)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IFERROR(__xludf.DUMMYFUNCTION("IMPORTRANGE(""https://docs.google.com/spreadsheets/d/11923uPwbBZFjjGgGUA6NLw09EwE0CqkOc4q9oUmW1yo/edit?usp=sharing"",""พิจิตร!I514"")"),0)</f>
        <v>0</v>
      </c>
      <c r="J619" s="188">
        <f ca="1">IFERROR(__xludf.DUMMYFUNCTION("IMPORTRANGE(""https://docs.google.com/spreadsheets/d/11923uPwbBZFjjGgGUA6NLw09EwE0CqkOc4q9oUmW1yo/edit?usp=sharing"",""พิจิตร!J514"")"),0)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IFERROR(__xludf.DUMMYFUNCTION("IMPORTRANGE(""https://docs.google.com/spreadsheets/d/11923uPwbBZFjjGgGUA6NLw09EwE0CqkOc4q9oUmW1yo/edit?usp=sharing"",""พิจิตร!I515"")"),0)</f>
        <v>0</v>
      </c>
      <c r="J620" s="202">
        <f ca="1">IFERROR(__xludf.DUMMYFUNCTION("IMPORTRANGE(""https://docs.google.com/spreadsheets/d/11923uPwbBZFjjGgGUA6NLw09EwE0CqkOc4q9oUmW1yo/edit?usp=sharing"",""พิจิตร!J515"")"),0)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IFERROR(__xludf.DUMMYFUNCTION("IMPORTRANGE(""https://docs.google.com/spreadsheets/d/11923uPwbBZFjjGgGUA6NLw09EwE0CqkOc4q9oUmW1yo/edit?usp=sharing"",""พิจิตร!I516"")"),0)</f>
        <v>0</v>
      </c>
      <c r="J621" s="202">
        <f ca="1">IFERROR(__xludf.DUMMYFUNCTION("IMPORTRANGE(""https://docs.google.com/spreadsheets/d/11923uPwbBZFjjGgGUA6NLw09EwE0CqkOc4q9oUmW1yo/edit?usp=sharing"",""พิจิตร!J516"")"),0)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IFERROR(__xludf.DUMMYFUNCTION("IMPORTRANGE(""https://docs.google.com/spreadsheets/d/11923uPwbBZFjjGgGUA6NLw09EwE0CqkOc4q9oUmW1yo/edit?usp=sharing"",""พิจิตร!I517"")"),0)</f>
        <v>0</v>
      </c>
      <c r="J622" s="188">
        <f ca="1">IFERROR(__xludf.DUMMYFUNCTION("IMPORTRANGE(""https://docs.google.com/spreadsheets/d/11923uPwbBZFjjGgGUA6NLw09EwE0CqkOc4q9oUmW1yo/edit?usp=sharing"",""พิจิตร!J517"")"),0)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IFERROR(__xludf.DUMMYFUNCTION("IMPORTRANGE(""https://docs.google.com/spreadsheets/d/11923uPwbBZFjjGgGUA6NLw09EwE0CqkOc4q9oUmW1yo/edit?usp=sharing"",""พิจิตร!I518"")"),0)</f>
        <v>0</v>
      </c>
      <c r="J623" s="188">
        <f ca="1">IFERROR(__xludf.DUMMYFUNCTION("IMPORTRANGE(""https://docs.google.com/spreadsheets/d/11923uPwbBZFjjGgGUA6NLw09EwE0CqkOc4q9oUmW1yo/edit?usp=sharing"",""พิจิตร!J518"")"),0)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IFERROR(__xludf.DUMMYFUNCTION("IMPORTRANGE(""https://docs.google.com/spreadsheets/d/11923uPwbBZFjjGgGUA6NLw09EwE0CqkOc4q9oUmW1yo/edit?usp=sharing"",""พิจิตร!I519"")"),0)</f>
        <v>0</v>
      </c>
      <c r="J624" s="187">
        <f ca="1">IFERROR(__xludf.DUMMYFUNCTION("IMPORTRANGE(""https://docs.google.com/spreadsheets/d/11923uPwbBZFjjGgGUA6NLw09EwE0CqkOc4q9oUmW1yo/edit?usp=sharing"",""พิจิตร!J519"")"),0)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IFERROR(__xludf.DUMMYFUNCTION("IMPORTRANGE(""https://docs.google.com/spreadsheets/d/11923uPwbBZFjjGgGUA6NLw09EwE0CqkOc4q9oUmW1yo/edit?usp=sharing"",""พิจิตร!I520"")"),0)</f>
        <v>0</v>
      </c>
      <c r="J625" s="188">
        <f ca="1">IFERROR(__xludf.DUMMYFUNCTION("IMPORTRANGE(""https://docs.google.com/spreadsheets/d/11923uPwbBZFjjGgGUA6NLw09EwE0CqkOc4q9oUmW1yo/edit?usp=sharing"",""พิจิตร!J520"")"),0)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IFERROR(__xludf.DUMMYFUNCTION("IMPORTRANGE(""https://docs.google.com/spreadsheets/d/11923uPwbBZFjjGgGUA6NLw09EwE0CqkOc4q9oUmW1yo/edit?usp=sharing"",""พิจิตร!I521"")"),0)</f>
        <v>0</v>
      </c>
      <c r="J626" s="188">
        <f ca="1">IFERROR(__xludf.DUMMYFUNCTION("IMPORTRANGE(""https://docs.google.com/spreadsheets/d/11923uPwbBZFjjGgGUA6NLw09EwE0CqkOc4q9oUmW1yo/edit?usp=sharing"",""พิจิตร!J521"")"),0)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IFERROR(__xludf.DUMMYFUNCTION("IMPORTRANGE(""https://docs.google.com/spreadsheets/d/11923uPwbBZFjjGgGUA6NLw09EwE0CqkOc4q9oUmW1yo/edit?usp=sharing"",""พิจิตร!I523"")"),2520250)</f>
        <v>2520250</v>
      </c>
      <c r="J628" s="341">
        <f ca="1">IFERROR(__xludf.DUMMYFUNCTION("IMPORTRANGE(""https://docs.google.com/spreadsheets/d/11923uPwbBZFjjGgGUA6NLw09EwE0CqkOc4q9oUmW1yo/edit?usp=sharing"",""พิจิตร!J523"")"),1416450)</f>
        <v>1416450</v>
      </c>
      <c r="K628" s="342">
        <f t="shared" ref="K628:K635" ca="1" si="129">IF(I628&gt;0,J628*100/I628,0)</f>
        <v>56.202757662930267</v>
      </c>
      <c r="L628" s="342"/>
      <c r="M628" s="342"/>
      <c r="N628" s="342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IFERROR(__xludf.DUMMYFUNCTION("IMPORTRANGE(""https://docs.google.com/spreadsheets/d/11923uPwbBZFjjGgGUA6NLw09EwE0CqkOc4q9oUmW1yo/edit?usp=sharing"",""พิจิตร!I524"")"),93)</f>
        <v>93</v>
      </c>
      <c r="J629" s="341">
        <f ca="1">IFERROR(__xludf.DUMMYFUNCTION("IMPORTRANGE(""https://docs.google.com/spreadsheets/d/11923uPwbBZFjjGgGUA6NLw09EwE0CqkOc4q9oUmW1yo/edit?usp=sharing"",""พิจิตร!J524"")"),50)</f>
        <v>50</v>
      </c>
      <c r="K629" s="342">
        <f t="shared" ca="1" si="129"/>
        <v>53.763440860215056</v>
      </c>
      <c r="L629" s="342"/>
      <c r="M629" s="342"/>
      <c r="N629" s="342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IFERROR(__xludf.DUMMYFUNCTION("IMPORTRANGE(""https://docs.google.com/spreadsheets/d/11923uPwbBZFjjGgGUA6NLw09EwE0CqkOc4q9oUmW1yo/edit?usp=sharing"",""พิจิตร!I525"")"),510790.7)</f>
        <v>510790.7</v>
      </c>
      <c r="J630" s="341">
        <f ca="1">IFERROR(__xludf.DUMMYFUNCTION("IMPORTRANGE(""https://docs.google.com/spreadsheets/d/11923uPwbBZFjjGgGUA6NLw09EwE0CqkOc4q9oUmW1yo/edit?usp=sharing"",""พิจิตร!J525"")"),58427.24)</f>
        <v>58427.24</v>
      </c>
      <c r="K630" s="342">
        <f t="shared" ca="1" si="129"/>
        <v>11.438587272634368</v>
      </c>
      <c r="L630" s="342"/>
      <c r="M630" s="342"/>
      <c r="N630" s="342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IFERROR(__xludf.DUMMYFUNCTION("IMPORTRANGE(""https://docs.google.com/spreadsheets/d/11923uPwbBZFjjGgGUA6NLw09EwE0CqkOc4q9oUmW1yo/edit?usp=sharing"",""พิจิตร!I526"")"),29)</f>
        <v>29</v>
      </c>
      <c r="J631" s="341">
        <f ca="1">IFERROR(__xludf.DUMMYFUNCTION("IMPORTRANGE(""https://docs.google.com/spreadsheets/d/11923uPwbBZFjjGgGUA6NLw09EwE0CqkOc4q9oUmW1yo/edit?usp=sharing"",""พิจิตร!J526"")"),16)</f>
        <v>16</v>
      </c>
      <c r="K631" s="342">
        <f t="shared" ca="1" si="129"/>
        <v>55.172413793103445</v>
      </c>
      <c r="L631" s="342"/>
      <c r="M631" s="342"/>
      <c r="N631" s="342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IFERROR(__xludf.DUMMYFUNCTION("IMPORTRANGE(""https://docs.google.com/spreadsheets/d/11923uPwbBZFjjGgGUA6NLw09EwE0CqkOc4q9oUmW1yo/edit?usp=sharing"",""พิจิตร!I527"")"),6140853.3)</f>
        <v>6140853.2999999998</v>
      </c>
      <c r="J632" s="341">
        <f ca="1">IFERROR(__xludf.DUMMYFUNCTION("IMPORTRANGE(""https://docs.google.com/spreadsheets/d/11923uPwbBZFjjGgGUA6NLw09EwE0CqkOc4q9oUmW1yo/edit?usp=sharing"",""พิจิตร!J527"")"),2785500.8)</f>
        <v>2785500.8</v>
      </c>
      <c r="K632" s="342">
        <f t="shared" ca="1" si="129"/>
        <v>45.360158660686459</v>
      </c>
      <c r="L632" s="342"/>
      <c r="M632" s="342"/>
      <c r="N632" s="342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IFERROR(__xludf.DUMMYFUNCTION("IMPORTRANGE(""https://docs.google.com/spreadsheets/d/11923uPwbBZFjjGgGUA6NLw09EwE0CqkOc4q9oUmW1yo/edit?usp=sharing"",""พิจิตร!I528"")"),482)</f>
        <v>482</v>
      </c>
      <c r="J633" s="341">
        <f ca="1">IFERROR(__xludf.DUMMYFUNCTION("IMPORTRANGE(""https://docs.google.com/spreadsheets/d/11923uPwbBZFjjGgGUA6NLw09EwE0CqkOc4q9oUmW1yo/edit?usp=sharing"",""พิจิตร!J528"")"),415)</f>
        <v>415</v>
      </c>
      <c r="K633" s="342">
        <f t="shared" ca="1" si="129"/>
        <v>86.099585062240664</v>
      </c>
      <c r="L633" s="342"/>
      <c r="M633" s="342"/>
      <c r="N633" s="342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IFERROR(__xludf.DUMMYFUNCTION("IMPORTRANGE(""https://docs.google.com/spreadsheets/d/11923uPwbBZFjjGgGUA6NLw09EwE0CqkOc4q9oUmW1yo/edit?usp=sharing"",""พิจิตร!I529"")"),2320000)</f>
        <v>2320000</v>
      </c>
      <c r="J634" s="341">
        <f ca="1">IFERROR(__xludf.DUMMYFUNCTION("IMPORTRANGE(""https://docs.google.com/spreadsheets/d/11923uPwbBZFjjGgGUA6NLw09EwE0CqkOc4q9oUmW1yo/edit?usp=sharing"",""พิจิตร!J529"")"),750000)</f>
        <v>750000</v>
      </c>
      <c r="K634" s="342">
        <f t="shared" ca="1" si="129"/>
        <v>32.327586206896555</v>
      </c>
      <c r="L634" s="342"/>
      <c r="M634" s="342"/>
      <c r="N634" s="342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IFERROR(__xludf.DUMMYFUNCTION("IMPORTRANGE(""https://docs.google.com/spreadsheets/d/11923uPwbBZFjjGgGUA6NLw09EwE0CqkOc4q9oUmW1yo/edit?usp=sharing"",""พิจิตร!I530"")"),87)</f>
        <v>87</v>
      </c>
      <c r="J635" s="504">
        <f ca="1">IFERROR(__xludf.DUMMYFUNCTION("IMPORTRANGE(""https://docs.google.com/spreadsheets/d/11923uPwbBZFjjGgGUA6NLw09EwE0CqkOc4q9oUmW1yo/edit?usp=sharing"",""พิจิตร!J530"")"),25)</f>
        <v>25</v>
      </c>
      <c r="K635" s="486">
        <f t="shared" ca="1" si="129"/>
        <v>28.735632183908045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21330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5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21330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21330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5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IFERROR(__xludf.DUMMYFUNCTION("IMPORTRANGE(""https://docs.google.com/spreadsheets/d/11923uPwbBZFjjGgGUA6NLw09EwE0CqkOc4q9oUmW1yo/edit?usp=sharing"",""พิจิตร!J541"")"),0)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5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IFERROR(__xludf.DUMMYFUNCTION("IMPORTRANGE(""https://docs.google.com/spreadsheets/d/11923uPwbBZFjjGgGUA6NLw09EwE0CqkOc4q9oUmW1yo/edit?usp=sharing"",""พิจิตร!J542"")"),0)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5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IFERROR(__xludf.DUMMYFUNCTION("IMPORTRANGE(""https://docs.google.com/spreadsheets/d/11923uPwbBZFjjGgGUA6NLw09EwE0CqkOc4q9oUmW1yo/edit?usp=sharing"",""พิจิตร!I543"")"),0)</f>
        <v>0</v>
      </c>
      <c r="J648" s="535">
        <f ca="1">IFERROR(__xludf.DUMMYFUNCTION("IMPORTRANGE(""https://docs.google.com/spreadsheets/d/11923uPwbBZFjjGgGUA6NLw09EwE0CqkOc4q9oUmW1yo/edit?usp=sharing"",""พิจิตร!J543"")"),0)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IFERROR(__xludf.DUMMYFUNCTION("IMPORTRANGE(""https://docs.google.com/spreadsheets/d/11923uPwbBZFjjGgGUA6NLw09EwE0CqkOc4q9oUmW1yo/edit?usp=sharing"",""พิจิตร!L543"")"),0)</f>
        <v>0</v>
      </c>
      <c r="M648" s="520"/>
      <c r="N648" s="537">
        <f ca="1">IFERROR(__xludf.DUMMYFUNCTION("IMPORTRANGE(""https://docs.google.com/spreadsheets/d/11923uPwbBZFjjGgGUA6NLw09EwE0CqkOc4q9oUmW1yo/edit?usp=sharing"",""พิจิตร!M543"")"),0)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5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IFERROR(__xludf.DUMMYFUNCTION("IMPORTRANGE(""https://docs.google.com/spreadsheets/d/11923uPwbBZFjjGgGUA6NLw09EwE0CqkOc4q9oUmW1yo/edit?usp=sharing"",""พิจิตร!I544"")"),0)</f>
        <v>0</v>
      </c>
      <c r="J649" s="535">
        <f ca="1">IFERROR(__xludf.DUMMYFUNCTION("IMPORTRANGE(""https://docs.google.com/spreadsheets/d/11923uPwbBZFjjGgGUA6NLw09EwE0CqkOc4q9oUmW1yo/edit?usp=sharing"",""พิจิตร!J544"")"),0)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IFERROR(__xludf.DUMMYFUNCTION("IMPORTRANGE(""https://docs.google.com/spreadsheets/d/11923uPwbBZFjjGgGUA6NLw09EwE0CqkOc4q9oUmW1yo/edit?usp=sharing"",""พิจิตร!L544"")"),0)</f>
        <v>0</v>
      </c>
      <c r="M649" s="520"/>
      <c r="N649" s="537">
        <f ca="1">IFERROR(__xludf.DUMMYFUNCTION("IMPORTRANGE(""https://docs.google.com/spreadsheets/d/11923uPwbBZFjjGgGUA6NLw09EwE0CqkOc4q9oUmW1yo/edit?usp=sharing"",""พิจิตร!M544"")"),0)</f>
        <v>0</v>
      </c>
      <c r="O649" s="536">
        <f t="shared" ca="1" si="132"/>
        <v>0</v>
      </c>
      <c r="P649" s="536"/>
    </row>
    <row r="650" spans="1:16" ht="21.75" customHeight="1" x14ac:dyDescent="0.45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IFERROR(__xludf.DUMMYFUNCTION("IMPORTRANGE(""https://docs.google.com/spreadsheets/d/11923uPwbBZFjjGgGUA6NLw09EwE0CqkOc4q9oUmW1yo/edit?usp=sharing"",""พิจิตร!I545"")"),200)</f>
        <v>200</v>
      </c>
      <c r="J650" s="535">
        <f ca="1">IFERROR(__xludf.DUMMYFUNCTION("IMPORTRANGE(""https://docs.google.com/spreadsheets/d/11923uPwbBZFjjGgGUA6NLw09EwE0CqkOc4q9oUmW1yo/edit?usp=sharing"",""พิจิตร!J545"")"),0)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IFERROR(__xludf.DUMMYFUNCTION("IMPORTRANGE(""https://docs.google.com/spreadsheets/d/11923uPwbBZFjjGgGUA6NLw09EwE0CqkOc4q9oUmW1yo/edit?usp=sharing"",""พิจิตร!L545"")"),1000)</f>
        <v>1000</v>
      </c>
      <c r="M650" s="520"/>
      <c r="N650" s="537">
        <f ca="1">IFERROR(__xludf.DUMMYFUNCTION("IMPORTRANGE(""https://docs.google.com/spreadsheets/d/11923uPwbBZFjjGgGUA6NLw09EwE0CqkOc4q9oUmW1yo/edit?usp=sharing"",""พิจิตร!M545"")"),0)</f>
        <v>0</v>
      </c>
      <c r="O650" s="536">
        <f t="shared" ca="1" si="132"/>
        <v>0</v>
      </c>
      <c r="P650" s="536"/>
    </row>
    <row r="651" spans="1:16" ht="21.75" customHeight="1" x14ac:dyDescent="0.45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IFERROR(__xludf.DUMMYFUNCTION("IMPORTRANGE(""https://docs.google.com/spreadsheets/d/11923uPwbBZFjjGgGUA6NLw09EwE0CqkOc4q9oUmW1yo/edit?usp=sharing"",""พิจิตร!I546"")"),90)</f>
        <v>90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IFERROR(__xludf.DUMMYFUNCTION("IMPORTRANGE(""https://docs.google.com/spreadsheets/d/11923uPwbBZFjjGgGUA6NLw09EwE0CqkOc4q9oUmW1yo/edit?usp=sharing"",""พิจิตร!L546"")"),2250)</f>
        <v>2250</v>
      </c>
      <c r="M651" s="520"/>
      <c r="N651" s="537">
        <f ca="1">IFERROR(__xludf.DUMMYFUNCTION("IMPORTRANGE(""https://docs.google.com/spreadsheets/d/11923uPwbBZFjjGgGUA6NLw09EwE0CqkOc4q9oUmW1yo/edit?usp=sharing"",""พิจิตร!M546"")"),0)</f>
        <v>0</v>
      </c>
      <c r="O651" s="536">
        <f t="shared" ca="1" si="132"/>
        <v>0</v>
      </c>
      <c r="P651" s="536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IFERROR(__xludf.DUMMYFUNCTION("IMPORTRANGE(""https://docs.google.com/spreadsheets/d/11923uPwbBZFjjGgGUA6NLw09EwE0CqkOc4q9oUmW1yo/edit?usp=sharing"",""พิจิตร!J547"")"),0)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IFERROR(__xludf.DUMMYFUNCTION("IMPORTRANGE(""https://docs.google.com/spreadsheets/d/11923uPwbBZFjjGgGUA6NLw09EwE0CqkOc4q9oUmW1yo/edit?usp=sharing"",""พิจิตร!J548"")"),0)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IFERROR(__xludf.DUMMYFUNCTION("IMPORTRANGE(""https://docs.google.com/spreadsheets/d/11923uPwbBZFjjGgGUA6NLw09EwE0CqkOc4q9oUmW1yo/edit?usp=sharing"",""พิจิตร!J550"")"),0)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IFERROR(__xludf.DUMMYFUNCTION("IMPORTRANGE(""https://docs.google.com/spreadsheets/d/11923uPwbBZFjjGgGUA6NLw09EwE0CqkOc4q9oUmW1yo/edit?usp=sharing"",""พิจิตร!J551"")"),0)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IFERROR(__xludf.DUMMYFUNCTION("IMPORTRANGE(""https://docs.google.com/spreadsheets/d/11923uPwbBZFjjGgGUA6NLw09EwE0CqkOc4q9oUmW1yo/edit?usp=sharing"",""พิจิตร!J552"")"),0)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IFERROR(__xludf.DUMMYFUNCTION("IMPORTRANGE(""https://docs.google.com/spreadsheets/d/11923uPwbBZFjjGgGUA6NLw09EwE0CqkOc4q9oUmW1yo/edit?usp=sharing"",""พิจิตร!J553"")"),0)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IFERROR(__xludf.DUMMYFUNCTION("IMPORTRANGE(""https://docs.google.com/spreadsheets/d/11923uPwbBZFjjGgGUA6NLw09EwE0CqkOc4q9oUmW1yo/edit?usp=sharing"",""พิจิตร!J554"")"),0)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IFERROR(__xludf.DUMMYFUNCTION("IMPORTRANGE(""https://docs.google.com/spreadsheets/d/11923uPwbBZFjjGgGUA6NLw09EwE0CqkOc4q9oUmW1yo/edit?usp=sharing"",""พิจิตร!J555"")"),0)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5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IFERROR(__xludf.DUMMYFUNCTION("IMPORTRANGE(""https://docs.google.com/spreadsheets/d/11923uPwbBZFjjGgGUA6NLw09EwE0CqkOc4q9oUmW1yo/edit?usp=sharing"",""พิจิตร!J556"")"),0)</f>
        <v>0</v>
      </c>
      <c r="K661" s="536"/>
      <c r="L661" s="521">
        <f ca="1">IFERROR(__xludf.DUMMYFUNCTION("IMPORTRANGE(""https://docs.google.com/spreadsheets/d/11923uPwbBZFjjGgGUA6NLw09EwE0CqkOc4q9oUmW1yo/edit?usp=sharing"",""พิจิตร!L556"")"),16000)</f>
        <v>16000</v>
      </c>
      <c r="M661" s="520"/>
      <c r="N661" s="537">
        <f ca="1">IFERROR(__xludf.DUMMYFUNCTION("IMPORTRANGE(""https://docs.google.com/spreadsheets/d/11923uPwbBZFjjGgGUA6NLw09EwE0CqkOc4q9oUmW1yo/edit?usp=sharing"",""พิจิตร!M556"")"),0)</f>
        <v>0</v>
      </c>
      <c r="O661" s="536">
        <f ca="1">IF(L661&gt;0,N661*100/L661,0)</f>
        <v>0</v>
      </c>
      <c r="P661" s="536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IFERROR(__xludf.DUMMYFUNCTION("IMPORTRANGE(""https://docs.google.com/spreadsheets/d/11923uPwbBZFjjGgGUA6NLw09EwE0CqkOc4q9oUmW1yo/edit?usp=sharing"",""พิจิตร!J557"")"),0)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IFERROR(__xludf.DUMMYFUNCTION("IMPORTRANGE(""https://docs.google.com/spreadsheets/d/11923uPwbBZFjjGgGUA6NLw09EwE0CqkOc4q9oUmW1yo/edit?usp=sharing"",""พิจิตร!I558"")"),400)</f>
        <v>400</v>
      </c>
      <c r="J663" s="535">
        <f ca="1">IFERROR(__xludf.DUMMYFUNCTION("IMPORTRANGE(""https://docs.google.com/spreadsheets/d/11923uPwbBZFjjGgGUA6NLw09EwE0CqkOc4q9oUmW1yo/edit?usp=sharing"",""พิจิตร!J558"")"),0)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5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IFERROR(__xludf.DUMMYFUNCTION("IMPORTRANGE(""https://docs.google.com/spreadsheets/d/11923uPwbBZFjjGgGUA6NLw09EwE0CqkOc4q9oUmW1yo/edit?usp=sharing"",""พิจิตร!I560"")"),3)</f>
        <v>3</v>
      </c>
      <c r="J665" s="535">
        <f ca="1">IFERROR(__xludf.DUMMYFUNCTION("IMPORTRANGE(""https://docs.google.com/spreadsheets/d/11923uPwbBZFjjGgGUA6NLw09EwE0CqkOc4q9oUmW1yo/edit?usp=sharing"",""พิจิตร!J560"")"),0)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IFERROR(__xludf.DUMMYFUNCTION("IMPORTRANGE(""https://docs.google.com/spreadsheets/d/11923uPwbBZFjjGgGUA6NLw09EwE0CqkOc4q9oUmW1yo/edit?usp=sharing"",""พิจิตร!L560"")"),360)</f>
        <v>360</v>
      </c>
      <c r="M665" s="520"/>
      <c r="N665" s="537">
        <f ca="1">IFERROR(__xludf.DUMMYFUNCTION("IMPORTRANGE(""https://docs.google.com/spreadsheets/d/11923uPwbBZFjjGgGUA6NLw09EwE0CqkOc4q9oUmW1yo/edit?usp=sharing"",""พิจิตร!M560"")"),0)</f>
        <v>0</v>
      </c>
      <c r="O665" s="536">
        <f ca="1">IF(L665&gt;0,N665*100/L665,0)</f>
        <v>0</v>
      </c>
      <c r="P665" s="536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IFERROR(__xludf.DUMMYFUNCTION("IMPORTRANGE(""https://docs.google.com/spreadsheets/d/11923uPwbBZFjjGgGUA6NLw09EwE0CqkOc4q9oUmW1yo/edit?usp=sharing"",""พิจิตร!J561"")"),0)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IFERROR(__xludf.DUMMYFUNCTION("IMPORTRANGE(""https://docs.google.com/spreadsheets/d/11923uPwbBZFjjGgGUA6NLw09EwE0CqkOc4q9oUmW1yo/edit?usp=sharing"",""พิจิตร!J562"")"),0)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IFERROR(__xludf.DUMMYFUNCTION("IMPORTRANGE(""https://docs.google.com/spreadsheets/d/11923uPwbBZFjjGgGUA6NLw09EwE0CqkOc4q9oUmW1yo/edit?usp=sharing"",""พิจิตร!I563"")"),1)</f>
        <v>1</v>
      </c>
      <c r="J668" s="535">
        <f ca="1">IFERROR(__xludf.DUMMYFUNCTION("IMPORTRANGE(""https://docs.google.com/spreadsheets/d/11923uPwbBZFjjGgGUA6NLw09EwE0CqkOc4q9oUmW1yo/edit?usp=sharing"",""พิจิตร!J563"")"),0)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IFERROR(__xludf.DUMMYFUNCTION("IMPORTRANGE(""https://docs.google.com/spreadsheets/d/11923uPwbBZFjjGgGUA6NLw09EwE0CqkOc4q9oUmW1yo/edit?usp=sharing"",""พิจิตร!L563"")"),1720)</f>
        <v>1720</v>
      </c>
      <c r="M668" s="520"/>
      <c r="N668" s="537">
        <f ca="1">IFERROR(__xludf.DUMMYFUNCTION("IMPORTRANGE(""https://docs.google.com/spreadsheets/d/11923uPwbBZFjjGgGUA6NLw09EwE0CqkOc4q9oUmW1yo/edit?usp=sharing"",""พิจิตร!M563"")"),0)</f>
        <v>0</v>
      </c>
      <c r="O668" s="536">
        <f ca="1">IF(L668&gt;0,N668*100/L668,0)</f>
        <v>0</v>
      </c>
      <c r="P668" s="536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IFERROR(__xludf.DUMMYFUNCTION("IMPORTRANGE(""https://docs.google.com/spreadsheets/d/11923uPwbBZFjjGgGUA6NLw09EwE0CqkOc4q9oUmW1yo/edit?usp=sharing"",""พิจิตร!J564"")"),0)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IFERROR(__xludf.DUMMYFUNCTION("IMPORTRANGE(""https://docs.google.com/spreadsheets/d/11923uPwbBZFjjGgGUA6NLw09EwE0CqkOc4q9oUmW1yo/edit?usp=sharing"",""พิจิตร!J565"")"),0)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5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IFERROR(__xludf.DUMMYFUNCTION("IMPORTRANGE(""https://docs.google.com/spreadsheets/d/11923uPwbBZFjjGgGUA6NLw09EwE0CqkOc4q9oUmW1yo/edit?usp=sharing"",""พิจิตร!I566"")"),0)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IFERROR(__xludf.DUMMYFUNCTION("IMPORTRANGE(""https://docs.google.com/spreadsheets/d/11923uPwbBZFjjGgGUA6NLw09EwE0CqkOc4q9oUmW1yo/edit?usp=sharing"",""พิจิตร!L566"")"),0)</f>
        <v>0</v>
      </c>
      <c r="M671" s="520"/>
      <c r="N671" s="537">
        <f ca="1">IFERROR(__xludf.DUMMYFUNCTION("IMPORTRANGE(""https://docs.google.com/spreadsheets/d/11923uPwbBZFjjGgGUA6NLw09EwE0CqkOc4q9oUmW1yo/edit?usp=sharing"",""พิจิตร!M566"")"),0)</f>
        <v>0</v>
      </c>
      <c r="O671" s="536">
        <f ca="1">IF(L671&gt;0,N671*100/L671,0)</f>
        <v>0</v>
      </c>
      <c r="P671" s="536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IFERROR(__xludf.DUMMYFUNCTION("IMPORTRANGE(""https://docs.google.com/spreadsheets/d/11923uPwbBZFjjGgGUA6NLw09EwE0CqkOc4q9oUmW1yo/edit?usp=sharing"",""พิจิตร!J567"")"),0)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IFERROR(__xludf.DUMMYFUNCTION("IMPORTRANGE(""https://docs.google.com/spreadsheets/d/11923uPwbBZFjjGgGUA6NLw09EwE0CqkOc4q9oUmW1yo/edit?usp=sharing"",""พิจิตร!J568"")"),0)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IFERROR(__xludf.DUMMYFUNCTION("IMPORTRANGE(""https://docs.google.com/spreadsheets/d/11923uPwbBZFjjGgGUA6NLw09EwE0CqkOc4q9oUmW1yo/edit?usp=sharing"",""พิจิตร!J569"")"),0)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IFERROR(__xludf.DUMMYFUNCTION("IMPORTRANGE(""https://docs.google.com/spreadsheets/d/11923uPwbBZFjjGgGUA6NLw09EwE0CqkOc4q9oUmW1yo/edit?usp=sharing"",""พิจิตร!J570"")"),0)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IFERROR(__xludf.DUMMYFUNCTION("IMPORTRANGE(""https://docs.google.com/spreadsheets/d/11923uPwbBZFjjGgGUA6NLw09EwE0CqkOc4q9oUmW1yo/edit?usp=sharing"",""พิจิตร!J571"")"),0)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5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IFERROR(__xludf.DUMMYFUNCTION("IMPORTRANGE(""https://docs.google.com/spreadsheets/d/11923uPwbBZFjjGgGUA6NLw09EwE0CqkOc4q9oUmW1yo/edit?usp=sharing"",""พิจิตร!J572"")"),0)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18</vt:i4>
      </vt:variant>
      <vt:variant>
        <vt:lpstr>ช่วงที่มีชื่อ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เชียงใหม่!Print_Titles</vt:lpstr>
      <vt:lpstr>เชียงราย!Print_Titles</vt:lpstr>
      <vt:lpstr>เพชรบูรณ์!Print_Titles</vt:lpstr>
      <vt:lpstr>แพร่!Print_Titles</vt:lpstr>
      <vt:lpstr>แม่ฮ่องสอน!Print_Titles</vt:lpstr>
      <vt:lpstr>กำแพงเพชร!Print_Titles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BarbiezZesT Phanumphai</cp:lastModifiedBy>
  <cp:lastPrinted>2022-06-02T09:06:43Z</cp:lastPrinted>
  <dcterms:modified xsi:type="dcterms:W3CDTF">2022-06-02T09:10:28Z</dcterms:modified>
</cp:coreProperties>
</file>